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RATES" sheetId="1" r:id="rId4"/>
    <sheet name="PAYROLL" sheetId="2" r:id="rId5"/>
    <sheet name="GOV'T DEDUCTIONS" sheetId="3" r:id="rId6"/>
    <sheet name="PAYSLIP_TEMPLATE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<sst xmlns="http://schemas.openxmlformats.org/spreadsheetml/2006/main" uniqueCount="115">
  <si>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MEZZA RESIDENCES – PAYROLL RATE MASTER  |  Cutoff: May 09-23, 2026</t>
  </si>
  <si>
    <t>INSTRUCTION: Fill in BLUE cells (Basic Rate &amp; Working Hours per Cutoff). Do NOT edit grey formula cells.</t>
  </si>
  <si>
    <t>NO</t>
  </si>
  <si>
    <t>EMPNO</t>
  </si>
  <si>
    <t>EMPLOYEE NAME</t>
  </si>
  <si>
    <t>BRANCH</t>
  </si>
  <si>
    <t>RATE
TYPE</t>
  </si>
  <si>
    <t>BASIC RATE
(₱/Mo | ₱/Day | ₱/Hr)</t>
  </si>
  <si>
    <t>WORKING HRS
PER CUTOFF</t>
  </si>
  <si>
    <t>MONTHLY BASIC
(auto-computed)</t>
  </si>
  <si>
    <t>ANNE</t>
  </si>
  <si>
    <t>HOURLY</t>
  </si>
  <si>
    <t>Ace</t>
  </si>
  <si>
    <t>Allen</t>
  </si>
  <si>
    <t>Ashley Paul</t>
  </si>
  <si>
    <t>Christine</t>
  </si>
  <si>
    <t>Edlyn</t>
  </si>
  <si>
    <t>James</t>
  </si>
  <si>
    <t>Janella</t>
  </si>
  <si>
    <t>Joisealay</t>
  </si>
  <si>
    <t>Justin</t>
  </si>
  <si>
    <t>Kristine</t>
  </si>
  <si>
    <t>Kyla</t>
  </si>
  <si>
    <t>LJ</t>
  </si>
  <si>
    <t>Noeme</t>
  </si>
  <si>
    <t>RYANN</t>
  </si>
  <si>
    <t>Ralph</t>
  </si>
  <si>
    <t>Raymond</t>
  </si>
  <si>
    <t>Ryan</t>
  </si>
  <si>
    <t>Tricia</t>
  </si>
  <si>
    <t>Yra</t>
  </si>
  <si>
    <t>ally</t>
  </si>
  <si>
    <t>cha</t>
  </si>
  <si>
    <t>evieonna</t>
  </si>
  <si>
    <t>loraine</t>
  </si>
  <si>
    <t>stephanie</t>
  </si>
  <si>
    <t>MEZZA RESIDENCES – SEMI-MONTHLY PAYROLL  |  Period: May 09-23, 2026  |  Pay Date: May 30, 2026</t>
  </si>
  <si>
    <t>All amounts in Philippine Peso (₱)  |  Statutory deductions per DOLE / BIR / SSS / PhilHealth / Pag-IBIG regulations 2026</t>
  </si>
  <si>
    <t>EMPLOYEE INFO</t>
  </si>
  <si>
    <t>BASIC PAY</t>
  </si>
  <si>
    <t>ADDITIONAL EARNINGS</t>
  </si>
  <si>
    <t>LEAVES &amp; DEDUCTIONS</t>
  </si>
  <si>
    <t>GOV'T DEDUCTIONS (EE)</t>
  </si>
  <si>
    <t>ALLOWANCES</t>
  </si>
  <si>
    <t>GROSS PAY</t>
  </si>
  <si>
    <t>TOTAL DEDUCTIONS</t>
  </si>
  <si>
    <t>NET PAY</t>
  </si>
  <si>
    <t>EMP NO</t>
  </si>
  <si>
    <t>BASIC PAY
EARNED</t>
  </si>
  <si>
    <t>OT BASE
RATE /HR</t>
  </si>
  <si>
    <t>OT REG
PAY (₱)</t>
  </si>
  <si>
    <t>OT ND
PAY (₱)</t>
  </si>
  <si>
    <t>NIGHT DIFF
PAY (₱)</t>
  </si>
  <si>
    <t>HOL PAY
(LH + SH)</t>
  </si>
  <si>
    <t>VL
(days)</t>
  </si>
  <si>
    <t>SL
(days)</t>
  </si>
  <si>
    <t>ABSENT/LATE
DEDUCTION</t>
  </si>
  <si>
    <t>SSS
(EE)</t>
  </si>
  <si>
    <t>PHIL-
HEALTH (EE)</t>
  </si>
  <si>
    <t>PAG-
IBIG (EE)</t>
  </si>
  <si>
    <t>WITH-
HOLDING TAX</t>
  </si>
  <si>
    <t>TRANSPORT &amp;
MEAL ALLOW</t>
  </si>
  <si>
    <t>HARDSHIP
INCENTIVE</t>
  </si>
  <si>
    <t>GROSS
PAY</t>
  </si>
  <si>
    <t>TOTAL
DEDUCTIONS</t>
  </si>
  <si>
    <t>REMARKS</t>
  </si>
  <si>
    <t xml:space="preserve">  📍 </t>
  </si>
  <si>
    <t xml:space="preserve">SUBTOTAL – </t>
  </si>
  <si>
    <t>★  GRAND TOTAL</t>
  </si>
  <si>
    <t>GOVERNMENT MANDATORY DEDUCTIONS SUMMARY  |  May 09-23, 2026</t>
  </si>
  <si>
    <t>EE = Employee Share  |  ER = Employer Share  |  SSS ER ≈ 9.5% of MSC  |  PhilHealth ER = 5% ÷ 2  |  Pag-IBIG ER = ₱100</t>
  </si>
  <si>
    <t>RATE TYPE</t>
  </si>
  <si>
    <t>PHILHEALTH
(EE)</t>
  </si>
  <si>
    <t>PAG-IBIG
(EE)</t>
  </si>
  <si>
    <t>SSS
(ER)</t>
  </si>
  <si>
    <t>PHILHEALTH
(ER)</t>
  </si>
  <si>
    <t>PAG-IBIG
(ER)</t>
  </si>
  <si>
    <t>TOTAL EE
DEDUCTIONS</t>
  </si>
  <si>
    <t>TOTAL ER
CONTRIBUTIONS</t>
  </si>
  <si>
    <t>GRAND TOTAL</t>
  </si>
  <si>
    <t>PAYSLIP – MEZZA RESIDENCES</t>
  </si>
  <si>
    <t>Cutoff Period:</t>
  </si>
  <si>
    <t>May 09-23, 2026</t>
  </si>
  <si>
    <t>Pay Date:</t>
  </si>
  <si>
    <t>May 30, 2026</t>
  </si>
  <si>
    <t>Employee Name:</t>
  </si>
  <si>
    <t>[EMPLOYEE NAME]</t>
  </si>
  <si>
    <t>Employee No:</t>
  </si>
  <si>
    <t>[EMP NO]</t>
  </si>
  <si>
    <t>Department:</t>
  </si>
  <si>
    <t>[BRANCH]</t>
  </si>
  <si>
    <t>Rate Type:</t>
  </si>
  <si>
    <t>[RATE TYPE]</t>
  </si>
  <si>
    <t>EARNINGS</t>
  </si>
  <si>
    <t>DEDUCTIONS</t>
  </si>
  <si>
    <t>Basic Pay</t>
  </si>
  <si>
    <t>₱0.00</t>
  </si>
  <si>
    <t>OT Regular Pay</t>
  </si>
  <si>
    <t>OT Night Diff</t>
  </si>
  <si>
    <t>Night Differential</t>
  </si>
  <si>
    <t>Holiday Pay</t>
  </si>
  <si>
    <t>Transport Allowance</t>
  </si>
  <si>
    <t>Meal Allowance</t>
  </si>
  <si>
    <t>Hardship Incentive</t>
  </si>
  <si>
    <t>SSS (EE)</t>
  </si>
  <si>
    <t>PhilHealth (EE)</t>
  </si>
  <si>
    <t>Pag-IBIG (EE)</t>
  </si>
  <si>
    <t>Withholding Tax</t>
  </si>
  <si>
    <t>Absent / Late Deduction</t>
  </si>
  <si>
    <t>NET PAY:   ₱ 0.00</t>
  </si>
  <si>
    <t>Prepared by:</t>
  </si>
  <si>
    <t>___________________________</t>
  </si>
  <si>
    <t>HR / Payroll Officer</t>
  </si>
  <si>
    <t>Received by:</t>
  </si>
  <si>
    <t>Employee Signature over Printed Name</t>
  </si>
</sst>
</file>

<file path=xl/styles.xml><?xml version="1.0" encoding="utf-8"?>
<styleSheet xmlns="http://schemas.openxmlformats.org/spreadsheetml/2006/main" xml:space="preserve">
  <numFmts count="2">
    <numFmt numFmtId="164" formatCode="₱#,##0.00"/>
    <numFmt numFmtId="165" formatCode="#,##0.0"/>
  </numFmts>
  <fonts count="2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1F4E79"/>
      <name val="Arial"/>
    </font>
    <font>
      <b val="0"/>
      <i val="1"/>
      <strike val="0"/>
      <u val="none"/>
      <sz val="9"/>
      <color rgb="FFC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70C0"/>
      <name val="Arial"/>
    </font>
    <font>
      <b val="1"/>
      <i val="0"/>
      <strike val="0"/>
      <u val="none"/>
      <sz val="13"/>
      <color rgb="FF1F4E79"/>
      <name val="Arial"/>
    </font>
    <font>
      <b val="0"/>
      <i val="1"/>
      <strike val="0"/>
      <u val="none"/>
      <sz val="9"/>
      <color rgb="FF595959"/>
      <name val="Arial"/>
    </font>
    <font>
      <b val="1"/>
      <i val="0"/>
      <strike val="0"/>
      <u val="none"/>
      <sz val="8"/>
      <color rgb="FFFFFFFF"/>
      <name val="Arial"/>
    </font>
    <font>
      <b val="1"/>
      <i val="0"/>
      <strike val="0"/>
      <u val="none"/>
      <sz val="9"/>
      <color rgb="FF375623"/>
      <name val="Arial"/>
    </font>
    <font>
      <b val="0"/>
      <i val="0"/>
      <strike val="0"/>
      <u val="none"/>
      <sz val="9"/>
      <color rgb="FF833C00"/>
      <name val="Arial"/>
    </font>
    <font>
      <b val="0"/>
      <i val="0"/>
      <strike val="0"/>
      <u val="none"/>
      <sz val="9"/>
      <color rgb="FF244185"/>
      <name val="Arial"/>
    </font>
    <font>
      <b val="0"/>
      <i val="0"/>
      <strike val="0"/>
      <u val="none"/>
      <sz val="9"/>
      <color rgb="FF843C0C"/>
      <name val="Arial"/>
    </font>
    <font>
      <b val="0"/>
      <i val="0"/>
      <strike val="0"/>
      <u val="none"/>
      <sz val="9"/>
      <color rgb="FFC00000"/>
      <name val="Arial"/>
    </font>
    <font>
      <b val="0"/>
      <i val="0"/>
      <strike val="0"/>
      <u val="none"/>
      <sz val="9"/>
      <color rgb="FF7B2C2C"/>
      <name val="Arial"/>
    </font>
    <font>
      <b val="0"/>
      <i val="0"/>
      <strike val="0"/>
      <u val="none"/>
      <sz val="9"/>
      <color rgb="FF375623"/>
      <name val="Arial"/>
    </font>
    <font>
      <b val="1"/>
      <i val="0"/>
      <strike val="0"/>
      <u val="none"/>
      <sz val="9"/>
      <color rgb="FF1F4E79"/>
      <name val="Arial"/>
    </font>
    <font>
      <b val="1"/>
      <i val="0"/>
      <strike val="0"/>
      <u val="none"/>
      <sz val="9"/>
      <color rgb="FFC00000"/>
      <name val="Arial"/>
    </font>
    <font>
      <b val="1"/>
      <i val="0"/>
      <strike val="0"/>
      <u val="none"/>
      <sz val="9"/>
      <color rgb="FF1A6615"/>
      <name val="Arial"/>
    </font>
    <font>
      <b val="1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9"/>
      <color rgb="FF7B2C2C"/>
      <name val="Arial"/>
    </font>
    <font>
      <b val="1"/>
      <i val="0"/>
      <strike val="0"/>
      <u val="none"/>
      <sz val="14"/>
      <color rgb="FF1F4E79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1F4E79"/>
      <name val="Arial"/>
    </font>
    <font>
      <b val="1"/>
      <i val="0"/>
      <strike val="0"/>
      <u val="none"/>
      <sz val="14"/>
      <color rgb="FFFFFFFF"/>
      <name val="Arial"/>
    </font>
  </fonts>
  <fills count="15">
    <fill>
      <patternFill patternType="none"/>
    </fill>
    <fill>
      <patternFill patternType="gray125"/>
    </fill>
    <fill>
      <patternFill patternType="solid">
        <fgColor rgb="FF2E75B6"/>
        <bgColor rgb="FF000000"/>
      </patternFill>
    </fill>
    <fill>
      <patternFill patternType="solid">
        <fgColor rgb="FFEBF3FB"/>
        <bgColor rgb="FF000000"/>
      </patternFill>
    </fill>
    <fill>
      <patternFill patternType="solid">
        <fgColor rgb="FFDDEE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375623"/>
        <bgColor rgb="FF000000"/>
      </patternFill>
    </fill>
    <fill>
      <patternFill patternType="solid">
        <fgColor rgb="FF833C00"/>
        <bgColor rgb="FF000000"/>
      </patternFill>
    </fill>
    <fill>
      <patternFill patternType="solid">
        <fgColor rgb="FF7B2C2C"/>
        <bgColor rgb="FF000000"/>
      </patternFill>
    </fill>
    <fill>
      <patternFill patternType="solid">
        <fgColor rgb="FF1A6615"/>
        <bgColor rgb="FF000000"/>
      </patternFill>
    </fill>
    <fill>
      <patternFill patternType="solid">
        <fgColor rgb="FF2E4057"/>
        <bgColor rgb="FF000000"/>
      </patternFill>
    </fill>
    <fill>
      <patternFill patternType="solid">
        <fgColor rgb="FFD5F0D0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D9E1F2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3" fillId="3" borderId="1" applyFont="1" applyNumberFormat="1" applyFill="1" applyBorder="1" applyAlignment="1">
      <alignment horizontal="center" vertical="center" textRotation="0" wrapText="false" shrinkToFit="false"/>
    </xf>
    <xf xfId="0" fontId="4" numFmtId="49" fillId="3" borderId="1" applyFont="1" applyNumberFormat="1" applyFill="1" applyBorder="1" applyAlignment="1">
      <alignment horizontal="center" vertical="center" textRotation="0" wrapText="false" shrinkToFit="false"/>
    </xf>
    <xf xfId="0" fontId="4" numFmtId="49" fillId="3" borderId="1" applyFont="1" applyNumberFormat="1" applyFill="1" applyBorder="1" applyAlignment="1">
      <alignment horizontal="left" vertical="center" textRotation="0" wrapText="false" shrinkToFit="false"/>
    </xf>
    <xf xfId="0" fontId="5" numFmtId="164" fillId="4" borderId="1" applyFont="1" applyNumberFormat="1" applyFill="1" applyBorder="1" applyAlignment="1">
      <alignment horizontal="right" vertical="center" textRotation="0" wrapText="false" shrinkToFit="false"/>
    </xf>
    <xf xfId="0" fontId="5" numFmtId="4" fillId="4" borderId="1" applyFont="1" applyNumberFormat="1" applyFill="1" applyBorder="1" applyAlignment="1">
      <alignment horizontal="right" vertical="center" textRotation="0" wrapText="false" shrinkToFit="false"/>
    </xf>
    <xf xfId="0" fontId="4" numFmtId="164" fillId="3" borderId="1" applyFont="1" applyNumberFormat="1" applyFill="1" applyBorder="1" applyAlignment="1">
      <alignment horizontal="right" vertical="center" textRotation="0" wrapText="false" shrinkToFit="false"/>
    </xf>
    <xf xfId="0" fontId="4" numFmtId="3" fillId="5" borderId="1" applyFont="1" applyNumberFormat="1" applyFill="1" applyBorder="1" applyAlignment="1">
      <alignment horizontal="center" vertical="center" textRotation="0" wrapText="false" shrinkToFit="false"/>
    </xf>
    <xf xfId="0" fontId="4" numFmtId="49" fillId="5" borderId="1" applyFont="1" applyNumberFormat="1" applyFill="1" applyBorder="1" applyAlignment="1">
      <alignment horizontal="center" vertical="center" textRotation="0" wrapText="false" shrinkToFit="false"/>
    </xf>
    <xf xfId="0" fontId="4" numFmtId="49" fillId="5" borderId="1" applyFont="1" applyNumberFormat="1" applyFill="1" applyBorder="1" applyAlignment="1">
      <alignment horizontal="left" vertical="center" textRotation="0" wrapText="false" shrinkToFit="false"/>
    </xf>
    <xf xfId="0" fontId="4" numFmtId="164" fillId="5" borderId="1" applyFont="1" applyNumberFormat="1" applyFill="1" applyBorder="1" applyAlignment="1">
      <alignment horizontal="right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true" shrinkToFit="false"/>
    </xf>
    <xf xfId="0" fontId="3" numFmtId="0" fillId="7" borderId="1" applyFont="1" applyNumberFormat="0" applyFill="1" applyBorder="1" applyAlignment="1">
      <alignment horizontal="center" vertical="center" textRotation="0" wrapText="true" shrinkToFit="false"/>
    </xf>
    <xf xfId="0" fontId="3" numFmtId="0" fillId="8" borderId="1" applyFont="1" applyNumberFormat="0" applyFill="1" applyBorder="1" applyAlignment="1">
      <alignment horizontal="center" vertical="center" textRotation="0" wrapText="true" shrinkToFit="false"/>
    </xf>
    <xf xfId="0" fontId="3" numFmtId="0" fillId="9" borderId="1" applyFont="1" applyNumberFormat="0" applyFill="1" applyBorder="1" applyAlignment="1">
      <alignment horizontal="center" vertical="center" textRotation="0" wrapText="true" shrinkToFit="false"/>
    </xf>
    <xf xfId="0" fontId="3" numFmtId="0" fillId="10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11" borderId="1" applyFont="1" applyNumberFormat="0" applyFill="1" applyBorder="1" applyAlignment="1">
      <alignment horizontal="left" vertical="center" textRotation="0" wrapText="false" shrinkToFit="false"/>
    </xf>
    <xf xfId="0" fontId="0" numFmtId="0" fillId="11" borderId="1" applyFont="0" applyNumberFormat="0" applyFill="1" applyBorder="1" applyAlignment="0"/>
    <xf xfId="0" fontId="9" numFmtId="164" fillId="3" borderId="1" applyFont="1" applyNumberFormat="1" applyFill="1" applyBorder="1" applyAlignment="1">
      <alignment horizontal="right" vertical="center" textRotation="0" wrapText="false" shrinkToFit="false"/>
    </xf>
    <xf xfId="0" fontId="10" numFmtId="164" fillId="3" borderId="1" applyFont="1" applyNumberFormat="1" applyFill="1" applyBorder="1" applyAlignment="1">
      <alignment horizontal="right" vertical="center" textRotation="0" wrapText="false" shrinkToFit="false"/>
    </xf>
    <xf xfId="0" fontId="11" numFmtId="164" fillId="3" borderId="1" applyFont="1" applyNumberFormat="1" applyFill="1" applyBorder="1" applyAlignment="1">
      <alignment horizontal="right" vertical="center" textRotation="0" wrapText="false" shrinkToFit="false"/>
    </xf>
    <xf xfId="0" fontId="12" numFmtId="164" fillId="3" borderId="1" applyFont="1" applyNumberFormat="1" applyFill="1" applyBorder="1" applyAlignment="1">
      <alignment horizontal="right" vertical="center" textRotation="0" wrapText="false" shrinkToFit="false"/>
    </xf>
    <xf xfId="0" fontId="4" numFmtId="165" fillId="3" borderId="1" applyFont="1" applyNumberFormat="1" applyFill="1" applyBorder="1" applyAlignment="1">
      <alignment horizontal="center" vertical="center" textRotation="0" wrapText="false" shrinkToFit="false"/>
    </xf>
    <xf xfId="0" fontId="13" numFmtId="164" fillId="3" borderId="1" applyFont="1" applyNumberFormat="1" applyFill="1" applyBorder="1" applyAlignment="1">
      <alignment horizontal="right" vertical="center" textRotation="0" wrapText="false" shrinkToFit="false"/>
    </xf>
    <xf xfId="0" fontId="14" numFmtId="164" fillId="3" borderId="1" applyFont="1" applyNumberFormat="1" applyFill="1" applyBorder="1" applyAlignment="1">
      <alignment horizontal="right" vertical="center" textRotation="0" wrapText="false" shrinkToFit="false"/>
    </xf>
    <xf xfId="0" fontId="15" numFmtId="164" fillId="3" borderId="1" applyFont="1" applyNumberFormat="1" applyFill="1" applyBorder="1" applyAlignment="1">
      <alignment horizontal="right" vertical="center" textRotation="0" wrapText="false" shrinkToFit="false"/>
    </xf>
    <xf xfId="0" fontId="16" numFmtId="164" fillId="3" borderId="1" applyFont="1" applyNumberFormat="1" applyFill="1" applyBorder="1" applyAlignment="1">
      <alignment horizontal="right" vertical="center" textRotation="0" wrapText="false" shrinkToFit="false"/>
    </xf>
    <xf xfId="0" fontId="17" numFmtId="164" fillId="3" borderId="1" applyFont="1" applyNumberFormat="1" applyFill="1" applyBorder="1" applyAlignment="1">
      <alignment horizontal="right" vertical="center" textRotation="0" wrapText="false" shrinkToFit="false"/>
    </xf>
    <xf xfId="0" fontId="18" numFmtId="164" fillId="12" borderId="1" applyFont="1" applyNumberFormat="1" applyFill="1" applyBorder="1" applyAlignment="1">
      <alignment horizontal="right" vertical="center" textRotation="0" wrapText="false" shrinkToFit="false"/>
    </xf>
    <xf xfId="0" fontId="9" numFmtId="164" fillId="5" borderId="1" applyFont="1" applyNumberFormat="1" applyFill="1" applyBorder="1" applyAlignment="1">
      <alignment horizontal="right" vertical="center" textRotation="0" wrapText="false" shrinkToFit="false"/>
    </xf>
    <xf xfId="0" fontId="10" numFmtId="164" fillId="5" borderId="1" applyFont="1" applyNumberFormat="1" applyFill="1" applyBorder="1" applyAlignment="1">
      <alignment horizontal="right" vertical="center" textRotation="0" wrapText="false" shrinkToFit="false"/>
    </xf>
    <xf xfId="0" fontId="11" numFmtId="164" fillId="5" borderId="1" applyFont="1" applyNumberFormat="1" applyFill="1" applyBorder="1" applyAlignment="1">
      <alignment horizontal="right" vertical="center" textRotation="0" wrapText="false" shrinkToFit="false"/>
    </xf>
    <xf xfId="0" fontId="12" numFmtId="164" fillId="5" borderId="1" applyFont="1" applyNumberFormat="1" applyFill="1" applyBorder="1" applyAlignment="1">
      <alignment horizontal="right" vertical="center" textRotation="0" wrapText="false" shrinkToFit="false"/>
    </xf>
    <xf xfId="0" fontId="4" numFmtId="165" fillId="5" borderId="1" applyFont="1" applyNumberFormat="1" applyFill="1" applyBorder="1" applyAlignment="1">
      <alignment horizontal="center" vertical="center" textRotation="0" wrapText="false" shrinkToFit="false"/>
    </xf>
    <xf xfId="0" fontId="13" numFmtId="164" fillId="5" borderId="1" applyFont="1" applyNumberFormat="1" applyFill="1" applyBorder="1" applyAlignment="1">
      <alignment horizontal="right" vertical="center" textRotation="0" wrapText="false" shrinkToFit="false"/>
    </xf>
    <xf xfId="0" fontId="14" numFmtId="164" fillId="5" borderId="1" applyFont="1" applyNumberFormat="1" applyFill="1" applyBorder="1" applyAlignment="1">
      <alignment horizontal="right" vertical="center" textRotation="0" wrapText="false" shrinkToFit="false"/>
    </xf>
    <xf xfId="0" fontId="15" numFmtId="164" fillId="5" borderId="1" applyFont="1" applyNumberFormat="1" applyFill="1" applyBorder="1" applyAlignment="1">
      <alignment horizontal="right" vertical="center" textRotation="0" wrapText="false" shrinkToFit="false"/>
    </xf>
    <xf xfId="0" fontId="16" numFmtId="164" fillId="5" borderId="1" applyFont="1" applyNumberFormat="1" applyFill="1" applyBorder="1" applyAlignment="1">
      <alignment horizontal="right" vertical="center" textRotation="0" wrapText="false" shrinkToFit="false"/>
    </xf>
    <xf xfId="0" fontId="17" numFmtId="164" fillId="5" borderId="1" applyFont="1" applyNumberFormat="1" applyFill="1" applyBorder="1" applyAlignment="1">
      <alignment horizontal="right" vertical="center" textRotation="0" wrapText="false" shrinkToFit="false"/>
    </xf>
    <xf xfId="0" fontId="18" numFmtId="164" fillId="13" borderId="1" applyFont="1" applyNumberFormat="1" applyFill="1" applyBorder="1" applyAlignment="1">
      <alignment horizontal="right" vertical="center" textRotation="0" wrapText="false" shrinkToFit="false"/>
    </xf>
    <xf xfId="0" fontId="19" numFmtId="0" fillId="14" borderId="1" applyFont="1" applyNumberFormat="0" applyFill="1" applyBorder="1" applyAlignment="1">
      <alignment horizontal="left" vertical="center" textRotation="0" wrapText="false" shrinkToFit="false"/>
    </xf>
    <xf xfId="0" fontId="0" numFmtId="0" fillId="14" borderId="1" applyFont="0" applyNumberFormat="0" applyFill="1" applyBorder="1" applyAlignment="0"/>
    <xf xfId="0" fontId="19" numFmtId="164" fillId="14" borderId="1" applyFont="1" applyNumberFormat="1" applyFill="1" applyBorder="1" applyAlignment="1">
      <alignment horizontal="right" vertical="center" textRotation="0" wrapText="false" shrinkToFit="false"/>
    </xf>
    <xf xfId="0" fontId="20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6" borderId="1" applyFont="0" applyNumberFormat="0" applyFill="1" applyBorder="1" applyAlignment="0"/>
    <xf xfId="0" fontId="21" numFmtId="164" fillId="6" borderId="1" applyFont="1" applyNumberFormat="1" applyFill="1" applyBorder="1" applyAlignment="1">
      <alignment horizontal="right" vertical="center" textRotation="0" wrapText="false" shrinkToFit="false"/>
    </xf>
    <xf xfId="0" fontId="22" numFmtId="164" fillId="3" borderId="1" applyFont="1" applyNumberFormat="1" applyFill="1" applyBorder="1" applyAlignment="1">
      <alignment horizontal="right" vertical="center" textRotation="0" wrapText="false" shrinkToFit="false"/>
    </xf>
    <xf xfId="0" fontId="22" numFmtId="164" fillId="5" borderId="1" applyFont="1" applyNumberFormat="1" applyFill="1" applyBorder="1" applyAlignment="1">
      <alignment horizontal="right" vertical="center" textRotation="0" wrapText="false" shrinkToFit="false"/>
    </xf>
    <xf xfId="0" fontId="21" numFmtId="0" fillId="6" borderId="1" applyFont="1" applyNumberFormat="0" applyFill="1" applyBorder="1" applyAlignment="1">
      <alignment horizontal="center" vertical="bottom" textRotation="0" wrapText="false" shrinkToFit="false"/>
    </xf>
    <xf xfId="0" fontId="3" numFmtId="164" fillId="6" borderId="1" applyFont="1" applyNumberFormat="1" applyFill="1" applyBorder="1" applyAlignment="1">
      <alignment horizontal="right" vertical="bottom" textRotation="0" wrapText="false" shrinkToFit="false"/>
    </xf>
    <xf xfId="0" fontId="23" numFmtId="0" fillId="0" borderId="0" applyFont="1" applyNumberFormat="0" applyFill="0" applyBorder="0" applyAlignment="1">
      <alignment horizontal="center" vertical="bottom" textRotation="0" wrapText="false" shrinkToFit="false"/>
    </xf>
    <xf xfId="0" fontId="19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24" numFmtId="0" fillId="0" borderId="0" applyFont="1" applyNumberFormat="0" applyFill="0" applyBorder="0" applyAlignment="0"/>
    <xf xfId="0" fontId="25" numFmtId="0" fillId="0" borderId="0" applyFont="1" applyNumberFormat="0" applyFill="0" applyBorder="0" applyAlignment="0"/>
    <xf xfId="0" fontId="21" numFmtId="0" fillId="7" borderId="0" applyFont="1" applyNumberFormat="0" applyFill="1" applyBorder="0" applyAlignment="1">
      <alignment horizontal="center" vertical="bottom" textRotation="0" wrapText="false" shrinkToFit="false"/>
    </xf>
    <xf xfId="0" fontId="21" numFmtId="0" fillId="9" borderId="0" applyFont="1" applyNumberFormat="0" applyFill="1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26" numFmtId="0" fillId="0" borderId="0" applyFont="1" applyNumberFormat="0" applyFill="0" applyBorder="0" applyAlignment="0"/>
    <xf xfId="0" fontId="26" numFmtId="0" fillId="0" borderId="0" applyFont="1" applyNumberFormat="0" applyFill="0" applyBorder="0" applyAlignment="1">
      <alignment horizontal="right" vertical="bottom" textRotation="0" wrapText="false" shrinkToFit="false"/>
    </xf>
    <xf xfId="0" fontId="27" numFmtId="0" fillId="10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0" workbookViewId="0" showGridLines="true" showRowColHeaders="1">
      <pane xSplit="2" ySplit="3" activePane="bottomRight" state="frozen" topLeftCell="C4"/>
      <selection pane="bottomRight" activeCell="H28" sqref="H28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28" customWidth="true" style="0"/>
    <col min="4" max="4" width="20" customWidth="true" style="0"/>
    <col min="5" max="5" width="10" customWidth="true" style="0"/>
    <col min="6" max="6" width="22" customWidth="true" style="0"/>
    <col min="7" max="7" width="16" customWidth="true" style="0"/>
    <col min="8" max="8" width="18" customWidth="true" style="0"/>
  </cols>
  <sheetData>
    <row r="1" spans="1:8" customHeight="1" ht="22">
      <c r="A1" s="1" t="s">
        <v>0</v>
      </c>
    </row>
    <row r="2" spans="1:8">
      <c r="A2" s="2" t="s">
        <v>1</v>
      </c>
    </row>
    <row r="3" spans="1:8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4">
        <v>1</v>
      </c>
      <c r="B4" s="5">
        <v>5200539</v>
      </c>
      <c r="C4" s="6" t="s">
        <v>10</v>
      </c>
      <c r="D4" s="6"/>
      <c r="E4" s="5" t="s">
        <v>11</v>
      </c>
      <c r="F4" s="7">
        <v>0</v>
      </c>
      <c r="G4" s="8">
        <v>0</v>
      </c>
      <c r="H4" s="9">
        <f>F4*8*26</f>
        <v>0</v>
      </c>
    </row>
    <row r="5" spans="1:8">
      <c r="A5" s="10">
        <v>2</v>
      </c>
      <c r="B5" s="11">
        <v>5200537</v>
      </c>
      <c r="C5" s="12" t="s">
        <v>12</v>
      </c>
      <c r="D5" s="12"/>
      <c r="E5" s="11" t="s">
        <v>11</v>
      </c>
      <c r="F5" s="7">
        <v>0</v>
      </c>
      <c r="G5" s="8">
        <v>0</v>
      </c>
      <c r="H5" s="13">
        <f>F5*8*26</f>
        <v>0</v>
      </c>
    </row>
    <row r="6" spans="1:8">
      <c r="A6" s="4">
        <v>3</v>
      </c>
      <c r="B6" s="5">
        <v>5200533</v>
      </c>
      <c r="C6" s="6" t="s">
        <v>13</v>
      </c>
      <c r="D6" s="6"/>
      <c r="E6" s="5" t="s">
        <v>11</v>
      </c>
      <c r="F6" s="7">
        <v>0</v>
      </c>
      <c r="G6" s="8">
        <v>0</v>
      </c>
      <c r="H6" s="9">
        <f>F6*8*26</f>
        <v>0</v>
      </c>
    </row>
    <row r="7" spans="1:8">
      <c r="A7" s="10">
        <v>4</v>
      </c>
      <c r="B7" s="11">
        <v>5200543</v>
      </c>
      <c r="C7" s="12" t="s">
        <v>14</v>
      </c>
      <c r="D7" s="12"/>
      <c r="E7" s="11" t="s">
        <v>11</v>
      </c>
      <c r="F7" s="7">
        <v>0</v>
      </c>
      <c r="G7" s="8">
        <v>0</v>
      </c>
      <c r="H7" s="13">
        <f>F7*8*26</f>
        <v>0</v>
      </c>
    </row>
    <row r="8" spans="1:8">
      <c r="A8" s="4">
        <v>5</v>
      </c>
      <c r="B8" s="5">
        <v>5200433</v>
      </c>
      <c r="C8" s="6" t="s">
        <v>15</v>
      </c>
      <c r="D8" s="6"/>
      <c r="E8" s="5" t="s">
        <v>11</v>
      </c>
      <c r="F8" s="7">
        <v>0</v>
      </c>
      <c r="G8" s="8">
        <v>0</v>
      </c>
      <c r="H8" s="9">
        <f>F8*8*26</f>
        <v>0</v>
      </c>
    </row>
    <row r="9" spans="1:8">
      <c r="A9" s="10">
        <v>6</v>
      </c>
      <c r="B9" s="11">
        <v>5200498</v>
      </c>
      <c r="C9" s="12" t="s">
        <v>16</v>
      </c>
      <c r="D9" s="12"/>
      <c r="E9" s="11" t="s">
        <v>11</v>
      </c>
      <c r="F9" s="7">
        <v>0</v>
      </c>
      <c r="G9" s="8">
        <v>0</v>
      </c>
      <c r="H9" s="13">
        <f>F9*8*26</f>
        <v>0</v>
      </c>
    </row>
    <row r="10" spans="1:8">
      <c r="A10" s="4">
        <v>7</v>
      </c>
      <c r="B10" s="5">
        <v>5200559</v>
      </c>
      <c r="C10" s="6" t="s">
        <v>17</v>
      </c>
      <c r="D10" s="6"/>
      <c r="E10" s="5" t="s">
        <v>11</v>
      </c>
      <c r="F10" s="7">
        <v>0</v>
      </c>
      <c r="G10" s="8">
        <v>0</v>
      </c>
      <c r="H10" s="9">
        <f>F10*8*26</f>
        <v>0</v>
      </c>
    </row>
    <row r="11" spans="1:8">
      <c r="A11" s="10">
        <v>8</v>
      </c>
      <c r="B11" s="11">
        <v>5200333</v>
      </c>
      <c r="C11" s="12" t="s">
        <v>18</v>
      </c>
      <c r="D11" s="12"/>
      <c r="E11" s="11" t="s">
        <v>11</v>
      </c>
      <c r="F11" s="7">
        <v>0</v>
      </c>
      <c r="G11" s="8">
        <v>0</v>
      </c>
      <c r="H11" s="13">
        <f>F11*8*26</f>
        <v>0</v>
      </c>
    </row>
    <row r="12" spans="1:8">
      <c r="A12" s="4">
        <v>9</v>
      </c>
      <c r="B12" s="5">
        <v>5200534</v>
      </c>
      <c r="C12" s="6" t="s">
        <v>19</v>
      </c>
      <c r="D12" s="6"/>
      <c r="E12" s="5" t="s">
        <v>11</v>
      </c>
      <c r="F12" s="7">
        <v>0</v>
      </c>
      <c r="G12" s="8">
        <v>0</v>
      </c>
      <c r="H12" s="9">
        <f>F12*8*26</f>
        <v>0</v>
      </c>
    </row>
    <row r="13" spans="1:8">
      <c r="A13" s="10">
        <v>10</v>
      </c>
      <c r="B13" s="11">
        <v>5200396</v>
      </c>
      <c r="C13" s="12" t="s">
        <v>20</v>
      </c>
      <c r="D13" s="12"/>
      <c r="E13" s="11" t="s">
        <v>11</v>
      </c>
      <c r="F13" s="7">
        <v>0</v>
      </c>
      <c r="G13" s="8">
        <v>0</v>
      </c>
      <c r="H13" s="13">
        <f>F13*8*26</f>
        <v>0</v>
      </c>
    </row>
    <row r="14" spans="1:8">
      <c r="A14" s="4">
        <v>11</v>
      </c>
      <c r="B14" s="5">
        <v>5200507</v>
      </c>
      <c r="C14" s="6" t="s">
        <v>21</v>
      </c>
      <c r="D14" s="6"/>
      <c r="E14" s="5" t="s">
        <v>11</v>
      </c>
      <c r="F14" s="7">
        <v>0</v>
      </c>
      <c r="G14" s="8">
        <v>0</v>
      </c>
      <c r="H14" s="9">
        <f>F14*8*26</f>
        <v>0</v>
      </c>
    </row>
    <row r="15" spans="1:8">
      <c r="A15" s="10">
        <v>12</v>
      </c>
      <c r="B15" s="11">
        <v>5200328</v>
      </c>
      <c r="C15" s="12" t="s">
        <v>22</v>
      </c>
      <c r="D15" s="12"/>
      <c r="E15" s="11" t="s">
        <v>11</v>
      </c>
      <c r="F15" s="7">
        <v>0</v>
      </c>
      <c r="G15" s="8">
        <v>0</v>
      </c>
      <c r="H15" s="13">
        <f>F15*8*26</f>
        <v>0</v>
      </c>
    </row>
    <row r="16" spans="1:8">
      <c r="A16" s="4">
        <v>13</v>
      </c>
      <c r="B16" s="5">
        <v>5200388</v>
      </c>
      <c r="C16" s="6" t="s">
        <v>23</v>
      </c>
      <c r="D16" s="6"/>
      <c r="E16" s="5" t="s">
        <v>11</v>
      </c>
      <c r="F16" s="7">
        <v>0</v>
      </c>
      <c r="G16" s="8">
        <v>0</v>
      </c>
      <c r="H16" s="9">
        <f>F16*8*26</f>
        <v>0</v>
      </c>
    </row>
    <row r="17" spans="1:8">
      <c r="A17" s="10">
        <v>14</v>
      </c>
      <c r="B17" s="11">
        <v>5200343</v>
      </c>
      <c r="C17" s="12" t="s">
        <v>24</v>
      </c>
      <c r="D17" s="12"/>
      <c r="E17" s="11" t="s">
        <v>11</v>
      </c>
      <c r="F17" s="7">
        <v>0</v>
      </c>
      <c r="G17" s="8">
        <v>0</v>
      </c>
      <c r="H17" s="13">
        <f>F17*8*26</f>
        <v>0</v>
      </c>
    </row>
    <row r="18" spans="1:8">
      <c r="A18" s="4">
        <v>15</v>
      </c>
      <c r="B18" s="5">
        <v>5200084</v>
      </c>
      <c r="C18" s="6" t="s">
        <v>25</v>
      </c>
      <c r="D18" s="6"/>
      <c r="E18" s="5" t="s">
        <v>11</v>
      </c>
      <c r="F18" s="7">
        <v>0</v>
      </c>
      <c r="G18" s="8">
        <v>0</v>
      </c>
      <c r="H18" s="9">
        <f>F18*8*26</f>
        <v>0</v>
      </c>
    </row>
    <row r="19" spans="1:8">
      <c r="A19" s="10">
        <v>16</v>
      </c>
      <c r="B19" s="11">
        <v>5200357</v>
      </c>
      <c r="C19" s="12" t="s">
        <v>26</v>
      </c>
      <c r="D19" s="12"/>
      <c r="E19" s="11" t="s">
        <v>11</v>
      </c>
      <c r="F19" s="7">
        <v>0</v>
      </c>
      <c r="G19" s="8">
        <v>0</v>
      </c>
      <c r="H19" s="13">
        <f>F19*8*26</f>
        <v>0</v>
      </c>
    </row>
    <row r="20" spans="1:8">
      <c r="A20" s="4">
        <v>17</v>
      </c>
      <c r="B20" s="5">
        <v>5200552</v>
      </c>
      <c r="C20" s="6" t="s">
        <v>27</v>
      </c>
      <c r="D20" s="6"/>
      <c r="E20" s="5" t="s">
        <v>11</v>
      </c>
      <c r="F20" s="7">
        <v>0</v>
      </c>
      <c r="G20" s="8">
        <v>0</v>
      </c>
      <c r="H20" s="9">
        <f>F20*8*26</f>
        <v>0</v>
      </c>
    </row>
    <row r="21" spans="1:8">
      <c r="A21" s="10">
        <v>18</v>
      </c>
      <c r="B21" s="11">
        <v>5200421</v>
      </c>
      <c r="C21" s="12" t="s">
        <v>28</v>
      </c>
      <c r="D21" s="12"/>
      <c r="E21" s="11" t="s">
        <v>11</v>
      </c>
      <c r="F21" s="7">
        <v>0</v>
      </c>
      <c r="G21" s="8">
        <v>0</v>
      </c>
      <c r="H21" s="13">
        <f>F21*8*26</f>
        <v>0</v>
      </c>
    </row>
    <row r="22" spans="1:8">
      <c r="A22" s="4">
        <v>19</v>
      </c>
      <c r="B22" s="5">
        <v>5200332</v>
      </c>
      <c r="C22" s="6" t="s">
        <v>29</v>
      </c>
      <c r="D22" s="6"/>
      <c r="E22" s="5" t="s">
        <v>11</v>
      </c>
      <c r="F22" s="7">
        <v>0</v>
      </c>
      <c r="G22" s="8">
        <v>0</v>
      </c>
      <c r="H22" s="9">
        <f>F22*8*26</f>
        <v>0</v>
      </c>
    </row>
    <row r="23" spans="1:8">
      <c r="A23" s="10">
        <v>20</v>
      </c>
      <c r="B23" s="11">
        <v>5200393</v>
      </c>
      <c r="C23" s="12" t="s">
        <v>30</v>
      </c>
      <c r="D23" s="12"/>
      <c r="E23" s="11" t="s">
        <v>11</v>
      </c>
      <c r="F23" s="7">
        <v>0</v>
      </c>
      <c r="G23" s="8">
        <v>0</v>
      </c>
      <c r="H23" s="13">
        <f>F23*8*26</f>
        <v>0</v>
      </c>
    </row>
    <row r="24" spans="1:8">
      <c r="A24" s="4">
        <v>21</v>
      </c>
      <c r="B24" s="5">
        <v>5200491</v>
      </c>
      <c r="C24" s="6" t="s">
        <v>31</v>
      </c>
      <c r="D24" s="6"/>
      <c r="E24" s="5" t="s">
        <v>11</v>
      </c>
      <c r="F24" s="7">
        <v>0</v>
      </c>
      <c r="G24" s="8">
        <v>0</v>
      </c>
      <c r="H24" s="9">
        <f>F24*8*26</f>
        <v>0</v>
      </c>
    </row>
    <row r="25" spans="1:8">
      <c r="A25" s="10">
        <v>22</v>
      </c>
      <c r="B25" s="11">
        <v>5200475</v>
      </c>
      <c r="C25" s="12" t="s">
        <v>32</v>
      </c>
      <c r="D25" s="12"/>
      <c r="E25" s="11" t="s">
        <v>11</v>
      </c>
      <c r="F25" s="7">
        <v>0</v>
      </c>
      <c r="G25" s="8">
        <v>0</v>
      </c>
      <c r="H25" s="13">
        <f>F25*8*26</f>
        <v>0</v>
      </c>
    </row>
    <row r="26" spans="1:8">
      <c r="A26" s="4">
        <v>23</v>
      </c>
      <c r="B26" s="5">
        <v>5200523</v>
      </c>
      <c r="C26" s="6" t="s">
        <v>33</v>
      </c>
      <c r="D26" s="6"/>
      <c r="E26" s="5" t="s">
        <v>11</v>
      </c>
      <c r="F26" s="7">
        <v>0</v>
      </c>
      <c r="G26" s="8">
        <v>0</v>
      </c>
      <c r="H26" s="9">
        <f>F26*8*26</f>
        <v>0</v>
      </c>
    </row>
    <row r="27" spans="1:8">
      <c r="A27" s="10">
        <v>24</v>
      </c>
      <c r="B27" s="11">
        <v>5200122</v>
      </c>
      <c r="C27" s="12" t="s">
        <v>34</v>
      </c>
      <c r="D27" s="12"/>
      <c r="E27" s="11" t="s">
        <v>11</v>
      </c>
      <c r="F27" s="7">
        <v>0</v>
      </c>
      <c r="G27" s="8">
        <v>0</v>
      </c>
      <c r="H27" s="13">
        <f>F27*8*26</f>
        <v>0</v>
      </c>
    </row>
    <row r="28" spans="1:8">
      <c r="A28" s="4">
        <v>25</v>
      </c>
      <c r="B28" s="5">
        <v>5200495</v>
      </c>
      <c r="C28" s="6" t="s">
        <v>35</v>
      </c>
      <c r="D28" s="6"/>
      <c r="E28" s="5" t="s">
        <v>11</v>
      </c>
      <c r="F28" s="7">
        <v>0</v>
      </c>
      <c r="G28" s="8">
        <v>0</v>
      </c>
      <c r="H28" s="9">
        <f>F28*8*26</f>
        <v>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0" workbookViewId="0" showGridLines="true" showRowColHeaders="1">
      <pane xSplit="5" ySplit="4" activePane="bottomRight" state="frozen" topLeftCell="F5"/>
      <selection pane="bottomRight" activeCell="W33" sqref="W33"/>
    </sheetView>
  </sheetViews>
  <sheetFormatPr defaultRowHeight="14.4" outlineLevelRow="0" outlineLevelCol="0"/>
  <cols>
    <col min="1" max="1" width="5" customWidth="true" style="0"/>
    <col min="2" max="2" width="11" customWidth="true" style="0"/>
    <col min="3" max="3" width="28" customWidth="true" style="0"/>
    <col min="4" max="4" width="18" customWidth="true" style="0"/>
    <col min="5" max="5" width="9" customWidth="true" style="0"/>
    <col min="6" max="6" width="15" customWidth="true" style="0"/>
    <col min="7" max="7" width="13" customWidth="true" style="0"/>
    <col min="8" max="8" width="13" customWidth="true" style="0"/>
    <col min="9" max="9" width="12" customWidth="true" style="0"/>
    <col min="10" max="10" width="13" customWidth="true" style="0"/>
    <col min="11" max="11" width="13" customWidth="true" style="0"/>
    <col min="12" max="12" width="8" customWidth="true" style="0"/>
    <col min="13" max="13" width="8" customWidth="true" style="0"/>
    <col min="14" max="14" width="14" customWidth="true" style="0"/>
    <col min="15" max="15" width="11" customWidth="true" style="0"/>
    <col min="16" max="16" width="12" customWidth="true" style="0"/>
    <col min="17" max="17" width="10" customWidth="true" style="0"/>
    <col min="18" max="18" width="13" customWidth="true" style="0"/>
    <col min="19" max="19" width="14" customWidth="true" style="0"/>
    <col min="20" max="20" width="12" customWidth="true" style="0"/>
    <col min="21" max="21" width="14" customWidth="true" style="0"/>
    <col min="22" max="22" width="14" customWidth="true" style="0"/>
    <col min="23" max="23" width="16" customWidth="true" style="0"/>
    <col min="24" max="24" width="14" customWidth="true" style="0"/>
  </cols>
  <sheetData>
    <row r="1" spans="1:24" customHeight="1" ht="26">
      <c r="A1" s="14" t="s">
        <v>36</v>
      </c>
    </row>
    <row r="2" spans="1:24">
      <c r="A2" s="15" t="s">
        <v>37</v>
      </c>
    </row>
    <row r="3" spans="1:24" customHeight="1" ht="30">
      <c r="A3" s="16" t="s">
        <v>38</v>
      </c>
      <c r="F3" s="17" t="s">
        <v>39</v>
      </c>
      <c r="H3" s="18" t="s">
        <v>40</v>
      </c>
      <c r="L3" s="19" t="s">
        <v>41</v>
      </c>
      <c r="O3" s="19" t="s">
        <v>42</v>
      </c>
      <c r="S3" s="17" t="s">
        <v>43</v>
      </c>
      <c r="U3" s="16" t="s">
        <v>44</v>
      </c>
      <c r="V3" s="19" t="s">
        <v>45</v>
      </c>
      <c r="W3" s="20" t="s">
        <v>46</v>
      </c>
    </row>
    <row r="4" spans="1:24" customHeight="1" ht="44">
      <c r="A4" s="21" t="s">
        <v>2</v>
      </c>
      <c r="B4" s="21" t="s">
        <v>47</v>
      </c>
      <c r="C4" s="21" t="s">
        <v>4</v>
      </c>
      <c r="D4" s="21" t="s">
        <v>5</v>
      </c>
      <c r="E4" s="21" t="s">
        <v>6</v>
      </c>
      <c r="F4" s="21" t="s">
        <v>48</v>
      </c>
      <c r="G4" s="21" t="s">
        <v>49</v>
      </c>
      <c r="H4" s="21" t="s">
        <v>50</v>
      </c>
      <c r="I4" s="21" t="s">
        <v>51</v>
      </c>
      <c r="J4" s="21" t="s">
        <v>52</v>
      </c>
      <c r="K4" s="21" t="s">
        <v>53</v>
      </c>
      <c r="L4" s="21" t="s">
        <v>54</v>
      </c>
      <c r="M4" s="21" t="s">
        <v>55</v>
      </c>
      <c r="N4" s="21" t="s">
        <v>56</v>
      </c>
      <c r="O4" s="21" t="s">
        <v>57</v>
      </c>
      <c r="P4" s="21" t="s">
        <v>58</v>
      </c>
      <c r="Q4" s="21" t="s">
        <v>59</v>
      </c>
      <c r="R4" s="21" t="s">
        <v>60</v>
      </c>
      <c r="S4" s="21" t="s">
        <v>61</v>
      </c>
      <c r="T4" s="21" t="s">
        <v>62</v>
      </c>
      <c r="U4" s="21" t="s">
        <v>63</v>
      </c>
      <c r="V4" s="21" t="s">
        <v>64</v>
      </c>
      <c r="W4" s="21" t="s">
        <v>46</v>
      </c>
      <c r="X4" s="21" t="s">
        <v>65</v>
      </c>
    </row>
    <row r="5" spans="1:24" customHeight="1" ht="18">
      <c r="A5" s="22" t="s">
        <v>66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1:24">
      <c r="A6" s="4">
        <v>1</v>
      </c>
      <c r="B6" s="5">
        <v>5200539</v>
      </c>
      <c r="C6" s="6" t="s">
        <v>10</v>
      </c>
      <c r="D6" s="6"/>
      <c r="E6" s="5" t="s">
        <v>11</v>
      </c>
      <c r="F6" s="24">
        <f>RATES!F4*37.0666</f>
        <v>0</v>
      </c>
      <c r="G6" s="9">
        <f>RATES!F4</f>
        <v>0</v>
      </c>
      <c r="H6" s="25">
        <f>0</f>
        <v>0</v>
      </c>
      <c r="I6" s="26">
        <f>0</f>
        <v>0</v>
      </c>
      <c r="J6" s="26">
        <f>G6*0.10*5.35</f>
        <v>0</v>
      </c>
      <c r="K6" s="27">
        <f>0</f>
        <v>0</v>
      </c>
      <c r="L6" s="28">
        <v>0.0</v>
      </c>
      <c r="M6" s="28">
        <v>0.0</v>
      </c>
      <c r="N6" s="29">
        <f>0</f>
        <v>0</v>
      </c>
      <c r="O6" s="30">
        <f>IFERROR(MIN(MAX(ROUND(RATES!H4*0.045/2,2),90),450),450)</f>
        <v>90</v>
      </c>
      <c r="P6" s="30">
        <f>IFERROR(ROUND(MIN(MAX(RATES!H4,10000),100000)*0.05/2,2),250)</f>
        <v>250</v>
      </c>
      <c r="Q6" s="30">
        <v>100</v>
      </c>
      <c r="R6" s="30">
        <f>IFERROR(IF(((RATES!H4-(O6+P6+Q6)*2)*12)&lt;=250000,0,IF(((RATES!H4-(O6+P6+Q6)*2)*12)&lt;=400000,(((RATES!H4-(O6+P6+Q6)*2)*12)-250000)*0.15/24,IF(((RATES!H4-(O6+P6+Q6)*2)*12)&lt;=800000,(22500+(((RATES!H4-(O6+P6+Q6)*2)*12)-400000)*0.20)/24,IF(((RATES!H4-(O6+P6+Q6)*2)*12)&lt;=2000000,(102500+(((RATES!H4-(O6+P6+Q6)*2)*12)-800000)*0.25)/24,IF(((RATES!H4-(O6+P6+Q6)*2)*12)&lt;=8000000,(402500+(((RATES!H4-(O6+P6+Q6)*2)*12)-2000000)*0.30)/24,(2202500+(((RATES!H4-(O6+P6+Q6)*2)*12)-8000000)*0.35)/24))))),0)</f>
        <v>0</v>
      </c>
      <c r="S6" s="31">
        <v>0</v>
      </c>
      <c r="T6" s="31">
        <v>0</v>
      </c>
      <c r="U6" s="32">
        <f>F6+H6+I6+J6+K6+S6+T6-N6</f>
        <v>0</v>
      </c>
      <c r="V6" s="33">
        <f>O6+P6+Q6+R6</f>
        <v>440</v>
      </c>
      <c r="W6" s="34">
        <f>U6-V6</f>
        <v>-440</v>
      </c>
      <c r="X6" s="6"/>
    </row>
    <row r="7" spans="1:24">
      <c r="A7" s="10">
        <v>2</v>
      </c>
      <c r="B7" s="11">
        <v>5200537</v>
      </c>
      <c r="C7" s="12" t="s">
        <v>12</v>
      </c>
      <c r="D7" s="12"/>
      <c r="E7" s="11" t="s">
        <v>11</v>
      </c>
      <c r="F7" s="35">
        <f>RATES!F5*23.3</f>
        <v>0</v>
      </c>
      <c r="G7" s="13">
        <f>RATES!F5</f>
        <v>0</v>
      </c>
      <c r="H7" s="36">
        <f>0</f>
        <v>0</v>
      </c>
      <c r="I7" s="37">
        <f>0</f>
        <v>0</v>
      </c>
      <c r="J7" s="37">
        <f>G7*0.10*10.5</f>
        <v>0</v>
      </c>
      <c r="K7" s="38">
        <f>0</f>
        <v>0</v>
      </c>
      <c r="L7" s="39">
        <v>0.0</v>
      </c>
      <c r="M7" s="39">
        <v>0.0</v>
      </c>
      <c r="N7" s="40">
        <f>0</f>
        <v>0</v>
      </c>
      <c r="O7" s="41">
        <f>IFERROR(MIN(MAX(ROUND(RATES!H5*0.045/2,2),90),450),450)</f>
        <v>90</v>
      </c>
      <c r="P7" s="41">
        <f>IFERROR(ROUND(MIN(MAX(RATES!H5,10000),100000)*0.05/2,2),250)</f>
        <v>250</v>
      </c>
      <c r="Q7" s="41">
        <v>100</v>
      </c>
      <c r="R7" s="41">
        <f>IFERROR(IF(((RATES!H5-(O7+P7+Q7)*2)*12)&lt;=250000,0,IF(((RATES!H5-(O7+P7+Q7)*2)*12)&lt;=400000,(((RATES!H5-(O7+P7+Q7)*2)*12)-250000)*0.15/24,IF(((RATES!H5-(O7+P7+Q7)*2)*12)&lt;=800000,(22500+(((RATES!H5-(O7+P7+Q7)*2)*12)-400000)*0.20)/24,IF(((RATES!H5-(O7+P7+Q7)*2)*12)&lt;=2000000,(102500+(((RATES!H5-(O7+P7+Q7)*2)*12)-800000)*0.25)/24,IF(((RATES!H5-(O7+P7+Q7)*2)*12)&lt;=8000000,(402500+(((RATES!H5-(O7+P7+Q7)*2)*12)-2000000)*0.30)/24,(2202500+(((RATES!H5-(O7+P7+Q7)*2)*12)-8000000)*0.35)/24))))),0)</f>
        <v>0</v>
      </c>
      <c r="S7" s="42">
        <v>0</v>
      </c>
      <c r="T7" s="42">
        <v>0</v>
      </c>
      <c r="U7" s="43">
        <f>F7+H7+I7+J7+K7+S7+T7-N7</f>
        <v>0</v>
      </c>
      <c r="V7" s="44">
        <f>O7+P7+Q7+R7</f>
        <v>440</v>
      </c>
      <c r="W7" s="45">
        <f>U7-V7</f>
        <v>-440</v>
      </c>
      <c r="X7" s="12"/>
    </row>
    <row r="8" spans="1:24">
      <c r="A8" s="4">
        <v>3</v>
      </c>
      <c r="B8" s="5">
        <v>5200533</v>
      </c>
      <c r="C8" s="6" t="s">
        <v>13</v>
      </c>
      <c r="D8" s="6"/>
      <c r="E8" s="5" t="s">
        <v>11</v>
      </c>
      <c r="F8" s="24">
        <f>RATES!F6*46.8</f>
        <v>0</v>
      </c>
      <c r="G8" s="9">
        <f>RATES!F6</f>
        <v>0</v>
      </c>
      <c r="H8" s="25">
        <f>0</f>
        <v>0</v>
      </c>
      <c r="I8" s="26">
        <f>0</f>
        <v>0</v>
      </c>
      <c r="J8" s="26">
        <f>G8*0.10*18.2833</f>
        <v>0</v>
      </c>
      <c r="K8" s="27">
        <f>0</f>
        <v>0</v>
      </c>
      <c r="L8" s="28">
        <v>0.0</v>
      </c>
      <c r="M8" s="28">
        <v>0.0</v>
      </c>
      <c r="N8" s="29">
        <f>0</f>
        <v>0</v>
      </c>
      <c r="O8" s="30">
        <f>IFERROR(MIN(MAX(ROUND(RATES!H6*0.045/2,2),90),450),450)</f>
        <v>90</v>
      </c>
      <c r="P8" s="30">
        <f>IFERROR(ROUND(MIN(MAX(RATES!H6,10000),100000)*0.05/2,2),250)</f>
        <v>250</v>
      </c>
      <c r="Q8" s="30">
        <v>100</v>
      </c>
      <c r="R8" s="30">
        <f>IFERROR(IF(((RATES!H6-(O8+P8+Q8)*2)*12)&lt;=250000,0,IF(((RATES!H6-(O8+P8+Q8)*2)*12)&lt;=400000,(((RATES!H6-(O8+P8+Q8)*2)*12)-250000)*0.15/24,IF(((RATES!H6-(O8+P8+Q8)*2)*12)&lt;=800000,(22500+(((RATES!H6-(O8+P8+Q8)*2)*12)-400000)*0.20)/24,IF(((RATES!H6-(O8+P8+Q8)*2)*12)&lt;=2000000,(102500+(((RATES!H6-(O8+P8+Q8)*2)*12)-800000)*0.25)/24,IF(((RATES!H6-(O8+P8+Q8)*2)*12)&lt;=8000000,(402500+(((RATES!H6-(O8+P8+Q8)*2)*12)-2000000)*0.30)/24,(2202500+(((RATES!H6-(O8+P8+Q8)*2)*12)-8000000)*0.35)/24))))),0)</f>
        <v>0</v>
      </c>
      <c r="S8" s="31">
        <v>0</v>
      </c>
      <c r="T8" s="31">
        <v>0</v>
      </c>
      <c r="U8" s="32">
        <f>F8+H8+I8+J8+K8+S8+T8-N8</f>
        <v>0</v>
      </c>
      <c r="V8" s="33">
        <f>O8+P8+Q8+R8</f>
        <v>440</v>
      </c>
      <c r="W8" s="34">
        <f>U8-V8</f>
        <v>-440</v>
      </c>
      <c r="X8" s="6"/>
    </row>
    <row r="9" spans="1:24">
      <c r="A9" s="10">
        <v>4</v>
      </c>
      <c r="B9" s="11">
        <v>5200543</v>
      </c>
      <c r="C9" s="12" t="s">
        <v>14</v>
      </c>
      <c r="D9" s="12"/>
      <c r="E9" s="11" t="s">
        <v>11</v>
      </c>
      <c r="F9" s="35">
        <f>RATES!F7*40.2166</f>
        <v>0</v>
      </c>
      <c r="G9" s="13">
        <f>RATES!F7</f>
        <v>0</v>
      </c>
      <c r="H9" s="36">
        <f>0</f>
        <v>0</v>
      </c>
      <c r="I9" s="37">
        <f>0</f>
        <v>0</v>
      </c>
      <c r="J9" s="37">
        <f>G9*0.10*5.7833</f>
        <v>0</v>
      </c>
      <c r="K9" s="38">
        <f>0</f>
        <v>0</v>
      </c>
      <c r="L9" s="39">
        <v>0.0</v>
      </c>
      <c r="M9" s="39">
        <v>0.0</v>
      </c>
      <c r="N9" s="40">
        <f>0</f>
        <v>0</v>
      </c>
      <c r="O9" s="41">
        <f>IFERROR(MIN(MAX(ROUND(RATES!H7*0.045/2,2),90),450),450)</f>
        <v>90</v>
      </c>
      <c r="P9" s="41">
        <f>IFERROR(ROUND(MIN(MAX(RATES!H7,10000),100000)*0.05/2,2),250)</f>
        <v>250</v>
      </c>
      <c r="Q9" s="41">
        <v>100</v>
      </c>
      <c r="R9" s="41">
        <f>IFERROR(IF(((RATES!H7-(O9+P9+Q9)*2)*12)&lt;=250000,0,IF(((RATES!H7-(O9+P9+Q9)*2)*12)&lt;=400000,(((RATES!H7-(O9+P9+Q9)*2)*12)-250000)*0.15/24,IF(((RATES!H7-(O9+P9+Q9)*2)*12)&lt;=800000,(22500+(((RATES!H7-(O9+P9+Q9)*2)*12)-400000)*0.20)/24,IF(((RATES!H7-(O9+P9+Q9)*2)*12)&lt;=2000000,(102500+(((RATES!H7-(O9+P9+Q9)*2)*12)-800000)*0.25)/24,IF(((RATES!H7-(O9+P9+Q9)*2)*12)&lt;=8000000,(402500+(((RATES!H7-(O9+P9+Q9)*2)*12)-2000000)*0.30)/24,(2202500+(((RATES!H7-(O9+P9+Q9)*2)*12)-8000000)*0.35)/24))))),0)</f>
        <v>0</v>
      </c>
      <c r="S9" s="42">
        <v>0</v>
      </c>
      <c r="T9" s="42">
        <v>0</v>
      </c>
      <c r="U9" s="43">
        <f>F9+H9+I9+J9+K9+S9+T9-N9</f>
        <v>0</v>
      </c>
      <c r="V9" s="44">
        <f>O9+P9+Q9+R9</f>
        <v>440</v>
      </c>
      <c r="W9" s="45">
        <f>U9-V9</f>
        <v>-440</v>
      </c>
      <c r="X9" s="12"/>
    </row>
    <row r="10" spans="1:24">
      <c r="A10" s="4">
        <v>5</v>
      </c>
      <c r="B10" s="5">
        <v>5200433</v>
      </c>
      <c r="C10" s="6" t="s">
        <v>15</v>
      </c>
      <c r="D10" s="6"/>
      <c r="E10" s="5" t="s">
        <v>11</v>
      </c>
      <c r="F10" s="24">
        <f>RATES!F8*43.8501</f>
        <v>0</v>
      </c>
      <c r="G10" s="9">
        <f>RATES!F8</f>
        <v>0</v>
      </c>
      <c r="H10" s="25">
        <f>0</f>
        <v>0</v>
      </c>
      <c r="I10" s="26">
        <f>0</f>
        <v>0</v>
      </c>
      <c r="J10" s="26">
        <f>G10*0.10*15.75</f>
        <v>0</v>
      </c>
      <c r="K10" s="27">
        <f>0</f>
        <v>0</v>
      </c>
      <c r="L10" s="28">
        <v>0.0</v>
      </c>
      <c r="M10" s="28">
        <v>0.0</v>
      </c>
      <c r="N10" s="29">
        <f>0</f>
        <v>0</v>
      </c>
      <c r="O10" s="30">
        <f>IFERROR(MIN(MAX(ROUND(RATES!H8*0.045/2,2),90),450),450)</f>
        <v>90</v>
      </c>
      <c r="P10" s="30">
        <f>IFERROR(ROUND(MIN(MAX(RATES!H8,10000),100000)*0.05/2,2),250)</f>
        <v>250</v>
      </c>
      <c r="Q10" s="30">
        <v>100</v>
      </c>
      <c r="R10" s="30">
        <f>IFERROR(IF(((RATES!H8-(O10+P10+Q10)*2)*12)&lt;=250000,0,IF(((RATES!H8-(O10+P10+Q10)*2)*12)&lt;=400000,(((RATES!H8-(O10+P10+Q10)*2)*12)-250000)*0.15/24,IF(((RATES!H8-(O10+P10+Q10)*2)*12)&lt;=800000,(22500+(((RATES!H8-(O10+P10+Q10)*2)*12)-400000)*0.20)/24,IF(((RATES!H8-(O10+P10+Q10)*2)*12)&lt;=2000000,(102500+(((RATES!H8-(O10+P10+Q10)*2)*12)-800000)*0.25)/24,IF(((RATES!H8-(O10+P10+Q10)*2)*12)&lt;=8000000,(402500+(((RATES!H8-(O10+P10+Q10)*2)*12)-2000000)*0.30)/24,(2202500+(((RATES!H8-(O10+P10+Q10)*2)*12)-8000000)*0.35)/24))))),0)</f>
        <v>0</v>
      </c>
      <c r="S10" s="31">
        <v>0</v>
      </c>
      <c r="T10" s="31">
        <v>0</v>
      </c>
      <c r="U10" s="32">
        <f>F10+H10+I10+J10+K10+S10+T10-N10</f>
        <v>0</v>
      </c>
      <c r="V10" s="33">
        <f>O10+P10+Q10+R10</f>
        <v>440</v>
      </c>
      <c r="W10" s="34">
        <f>U10-V10</f>
        <v>-440</v>
      </c>
      <c r="X10" s="6"/>
    </row>
    <row r="11" spans="1:24">
      <c r="A11" s="10">
        <v>6</v>
      </c>
      <c r="B11" s="11">
        <v>5200498</v>
      </c>
      <c r="C11" s="12" t="s">
        <v>16</v>
      </c>
      <c r="D11" s="12"/>
      <c r="E11" s="11" t="s">
        <v>11</v>
      </c>
      <c r="F11" s="35">
        <f>RATES!F9*0</f>
        <v>0</v>
      </c>
      <c r="G11" s="13">
        <f>RATES!F9</f>
        <v>0</v>
      </c>
      <c r="H11" s="36">
        <f>0</f>
        <v>0</v>
      </c>
      <c r="I11" s="37">
        <f>0</f>
        <v>0</v>
      </c>
      <c r="J11" s="37">
        <f>0</f>
        <v>0</v>
      </c>
      <c r="K11" s="38">
        <f>0</f>
        <v>0</v>
      </c>
      <c r="L11" s="39">
        <v>0.0</v>
      </c>
      <c r="M11" s="39">
        <v>0.0</v>
      </c>
      <c r="N11" s="40">
        <f>0</f>
        <v>0</v>
      </c>
      <c r="O11" s="41">
        <f>IFERROR(MIN(MAX(ROUND(RATES!H9*0.045/2,2),90),450),450)</f>
        <v>90</v>
      </c>
      <c r="P11" s="41">
        <f>IFERROR(ROUND(MIN(MAX(RATES!H9,10000),100000)*0.05/2,2),250)</f>
        <v>250</v>
      </c>
      <c r="Q11" s="41">
        <v>100</v>
      </c>
      <c r="R11" s="41">
        <f>IFERROR(IF(((RATES!H9-(O11+P11+Q11)*2)*12)&lt;=250000,0,IF(((RATES!H9-(O11+P11+Q11)*2)*12)&lt;=400000,(((RATES!H9-(O11+P11+Q11)*2)*12)-250000)*0.15/24,IF(((RATES!H9-(O11+P11+Q11)*2)*12)&lt;=800000,(22500+(((RATES!H9-(O11+P11+Q11)*2)*12)-400000)*0.20)/24,IF(((RATES!H9-(O11+P11+Q11)*2)*12)&lt;=2000000,(102500+(((RATES!H9-(O11+P11+Q11)*2)*12)-800000)*0.25)/24,IF(((RATES!H9-(O11+P11+Q11)*2)*12)&lt;=8000000,(402500+(((RATES!H9-(O11+P11+Q11)*2)*12)-2000000)*0.30)/24,(2202500+(((RATES!H9-(O11+P11+Q11)*2)*12)-8000000)*0.35)/24))))),0)</f>
        <v>0</v>
      </c>
      <c r="S11" s="42">
        <v>0</v>
      </c>
      <c r="T11" s="42">
        <v>0</v>
      </c>
      <c r="U11" s="43">
        <f>F11+H11+I11+J11+K11+S11+T11-N11</f>
        <v>0</v>
      </c>
      <c r="V11" s="44">
        <f>O11+P11+Q11+R11</f>
        <v>440</v>
      </c>
      <c r="W11" s="45">
        <f>U11-V11</f>
        <v>-440</v>
      </c>
      <c r="X11" s="12"/>
    </row>
    <row r="12" spans="1:24">
      <c r="A12" s="4">
        <v>7</v>
      </c>
      <c r="B12" s="5">
        <v>5200559</v>
      </c>
      <c r="C12" s="6" t="s">
        <v>17</v>
      </c>
      <c r="D12" s="6"/>
      <c r="E12" s="5" t="s">
        <v>11</v>
      </c>
      <c r="F12" s="24">
        <f>RATES!F10*0</f>
        <v>0</v>
      </c>
      <c r="G12" s="9">
        <f>RATES!F10</f>
        <v>0</v>
      </c>
      <c r="H12" s="25">
        <f>0</f>
        <v>0</v>
      </c>
      <c r="I12" s="26">
        <f>0</f>
        <v>0</v>
      </c>
      <c r="J12" s="26">
        <f>0</f>
        <v>0</v>
      </c>
      <c r="K12" s="27">
        <f>0</f>
        <v>0</v>
      </c>
      <c r="L12" s="28">
        <v>0.0</v>
      </c>
      <c r="M12" s="28">
        <v>0.0</v>
      </c>
      <c r="N12" s="29">
        <f>0</f>
        <v>0</v>
      </c>
      <c r="O12" s="30">
        <f>IFERROR(MIN(MAX(ROUND(RATES!H10*0.045/2,2),90),450),450)</f>
        <v>90</v>
      </c>
      <c r="P12" s="30">
        <f>IFERROR(ROUND(MIN(MAX(RATES!H10,10000),100000)*0.05/2,2),250)</f>
        <v>250</v>
      </c>
      <c r="Q12" s="30">
        <v>100</v>
      </c>
      <c r="R12" s="30">
        <f>IFERROR(IF(((RATES!H10-(O12+P12+Q12)*2)*12)&lt;=250000,0,IF(((RATES!H10-(O12+P12+Q12)*2)*12)&lt;=400000,(((RATES!H10-(O12+P12+Q12)*2)*12)-250000)*0.15/24,IF(((RATES!H10-(O12+P12+Q12)*2)*12)&lt;=800000,(22500+(((RATES!H10-(O12+P12+Q12)*2)*12)-400000)*0.20)/24,IF(((RATES!H10-(O12+P12+Q12)*2)*12)&lt;=2000000,(102500+(((RATES!H10-(O12+P12+Q12)*2)*12)-800000)*0.25)/24,IF(((RATES!H10-(O12+P12+Q12)*2)*12)&lt;=8000000,(402500+(((RATES!H10-(O12+P12+Q12)*2)*12)-2000000)*0.30)/24,(2202500+(((RATES!H10-(O12+P12+Q12)*2)*12)-8000000)*0.35)/24))))),0)</f>
        <v>0</v>
      </c>
      <c r="S12" s="31">
        <v>0</v>
      </c>
      <c r="T12" s="31">
        <v>0</v>
      </c>
      <c r="U12" s="32">
        <f>F12+H12+I12+J12+K12+S12+T12-N12</f>
        <v>0</v>
      </c>
      <c r="V12" s="33">
        <f>O12+P12+Q12+R12</f>
        <v>440</v>
      </c>
      <c r="W12" s="34">
        <f>U12-V12</f>
        <v>-440</v>
      </c>
      <c r="X12" s="6"/>
    </row>
    <row r="13" spans="1:24">
      <c r="A13" s="10">
        <v>8</v>
      </c>
      <c r="B13" s="11">
        <v>5200333</v>
      </c>
      <c r="C13" s="12" t="s">
        <v>18</v>
      </c>
      <c r="D13" s="12"/>
      <c r="E13" s="11" t="s">
        <v>11</v>
      </c>
      <c r="F13" s="35">
        <f>RATES!F11*68.0168</f>
        <v>0</v>
      </c>
      <c r="G13" s="13">
        <f>RATES!F11</f>
        <v>0</v>
      </c>
      <c r="H13" s="36">
        <f>0</f>
        <v>0</v>
      </c>
      <c r="I13" s="37">
        <f>0</f>
        <v>0</v>
      </c>
      <c r="J13" s="37">
        <f>G13*0.10*0.0167</f>
        <v>0</v>
      </c>
      <c r="K13" s="38">
        <f>0</f>
        <v>0</v>
      </c>
      <c r="L13" s="39">
        <v>0.0</v>
      </c>
      <c r="M13" s="39">
        <v>0.0</v>
      </c>
      <c r="N13" s="40">
        <f>0</f>
        <v>0</v>
      </c>
      <c r="O13" s="41">
        <f>IFERROR(MIN(MAX(ROUND(RATES!H11*0.045/2,2),90),450),450)</f>
        <v>90</v>
      </c>
      <c r="P13" s="41">
        <f>IFERROR(ROUND(MIN(MAX(RATES!H11,10000),100000)*0.05/2,2),250)</f>
        <v>250</v>
      </c>
      <c r="Q13" s="41">
        <v>100</v>
      </c>
      <c r="R13" s="41">
        <f>IFERROR(IF(((RATES!H11-(O13+P13+Q13)*2)*12)&lt;=250000,0,IF(((RATES!H11-(O13+P13+Q13)*2)*12)&lt;=400000,(((RATES!H11-(O13+P13+Q13)*2)*12)-250000)*0.15/24,IF(((RATES!H11-(O13+P13+Q13)*2)*12)&lt;=800000,(22500+(((RATES!H11-(O13+P13+Q13)*2)*12)-400000)*0.20)/24,IF(((RATES!H11-(O13+P13+Q13)*2)*12)&lt;=2000000,(102500+(((RATES!H11-(O13+P13+Q13)*2)*12)-800000)*0.25)/24,IF(((RATES!H11-(O13+P13+Q13)*2)*12)&lt;=8000000,(402500+(((RATES!H11-(O13+P13+Q13)*2)*12)-2000000)*0.30)/24,(2202500+(((RATES!H11-(O13+P13+Q13)*2)*12)-8000000)*0.35)/24))))),0)</f>
        <v>0</v>
      </c>
      <c r="S13" s="42">
        <v>0</v>
      </c>
      <c r="T13" s="42">
        <v>0</v>
      </c>
      <c r="U13" s="43">
        <f>F13+H13+I13+J13+K13+S13+T13-N13</f>
        <v>0</v>
      </c>
      <c r="V13" s="44">
        <f>O13+P13+Q13+R13</f>
        <v>440</v>
      </c>
      <c r="W13" s="45">
        <f>U13-V13</f>
        <v>-440</v>
      </c>
      <c r="X13" s="12"/>
    </row>
    <row r="14" spans="1:24">
      <c r="A14" s="4">
        <v>9</v>
      </c>
      <c r="B14" s="5">
        <v>5200534</v>
      </c>
      <c r="C14" s="6" t="s">
        <v>19</v>
      </c>
      <c r="D14" s="6"/>
      <c r="E14" s="5" t="s">
        <v>11</v>
      </c>
      <c r="F14" s="24">
        <f>RATES!F12*53.6</f>
        <v>0</v>
      </c>
      <c r="G14" s="9">
        <f>RATES!F12</f>
        <v>0</v>
      </c>
      <c r="H14" s="25">
        <f>0</f>
        <v>0</v>
      </c>
      <c r="I14" s="26">
        <f>0</f>
        <v>0</v>
      </c>
      <c r="J14" s="26">
        <f>G14*0.10*19</f>
        <v>0</v>
      </c>
      <c r="K14" s="27">
        <f>0</f>
        <v>0</v>
      </c>
      <c r="L14" s="28">
        <v>0.0</v>
      </c>
      <c r="M14" s="28">
        <v>0.0</v>
      </c>
      <c r="N14" s="29">
        <f>0</f>
        <v>0</v>
      </c>
      <c r="O14" s="30">
        <f>IFERROR(MIN(MAX(ROUND(RATES!H12*0.045/2,2),90),450),450)</f>
        <v>90</v>
      </c>
      <c r="P14" s="30">
        <f>IFERROR(ROUND(MIN(MAX(RATES!H12,10000),100000)*0.05/2,2),250)</f>
        <v>250</v>
      </c>
      <c r="Q14" s="30">
        <v>100</v>
      </c>
      <c r="R14" s="30">
        <f>IFERROR(IF(((RATES!H12-(O14+P14+Q14)*2)*12)&lt;=250000,0,IF(((RATES!H12-(O14+P14+Q14)*2)*12)&lt;=400000,(((RATES!H12-(O14+P14+Q14)*2)*12)-250000)*0.15/24,IF(((RATES!H12-(O14+P14+Q14)*2)*12)&lt;=800000,(22500+(((RATES!H12-(O14+P14+Q14)*2)*12)-400000)*0.20)/24,IF(((RATES!H12-(O14+P14+Q14)*2)*12)&lt;=2000000,(102500+(((RATES!H12-(O14+P14+Q14)*2)*12)-800000)*0.25)/24,IF(((RATES!H12-(O14+P14+Q14)*2)*12)&lt;=8000000,(402500+(((RATES!H12-(O14+P14+Q14)*2)*12)-2000000)*0.30)/24,(2202500+(((RATES!H12-(O14+P14+Q14)*2)*12)-8000000)*0.35)/24))))),0)</f>
        <v>0</v>
      </c>
      <c r="S14" s="31">
        <v>0</v>
      </c>
      <c r="T14" s="31">
        <v>0</v>
      </c>
      <c r="U14" s="32">
        <f>F14+H14+I14+J14+K14+S14+T14-N14</f>
        <v>0</v>
      </c>
      <c r="V14" s="33">
        <f>O14+P14+Q14+R14</f>
        <v>440</v>
      </c>
      <c r="W14" s="34">
        <f>U14-V14</f>
        <v>-440</v>
      </c>
      <c r="X14" s="6"/>
    </row>
    <row r="15" spans="1:24">
      <c r="A15" s="10">
        <v>10</v>
      </c>
      <c r="B15" s="11">
        <v>5200396</v>
      </c>
      <c r="C15" s="12" t="s">
        <v>20</v>
      </c>
      <c r="D15" s="12"/>
      <c r="E15" s="11" t="s">
        <v>11</v>
      </c>
      <c r="F15" s="35">
        <f>RATES!F13*35.2834</f>
        <v>0</v>
      </c>
      <c r="G15" s="13">
        <f>RATES!F13</f>
        <v>0</v>
      </c>
      <c r="H15" s="36">
        <f>0</f>
        <v>0</v>
      </c>
      <c r="I15" s="37">
        <f>0</f>
        <v>0</v>
      </c>
      <c r="J15" s="37">
        <f>G15*0.10*9.5</f>
        <v>0</v>
      </c>
      <c r="K15" s="38">
        <f>0</f>
        <v>0</v>
      </c>
      <c r="L15" s="39">
        <v>0.0</v>
      </c>
      <c r="M15" s="39">
        <v>0.0</v>
      </c>
      <c r="N15" s="40">
        <f>0</f>
        <v>0</v>
      </c>
      <c r="O15" s="41">
        <f>IFERROR(MIN(MAX(ROUND(RATES!H13*0.045/2,2),90),450),450)</f>
        <v>90</v>
      </c>
      <c r="P15" s="41">
        <f>IFERROR(ROUND(MIN(MAX(RATES!H13,10000),100000)*0.05/2,2),250)</f>
        <v>250</v>
      </c>
      <c r="Q15" s="41">
        <v>100</v>
      </c>
      <c r="R15" s="41">
        <f>IFERROR(IF(((RATES!H13-(O15+P15+Q15)*2)*12)&lt;=250000,0,IF(((RATES!H13-(O15+P15+Q15)*2)*12)&lt;=400000,(((RATES!H13-(O15+P15+Q15)*2)*12)-250000)*0.15/24,IF(((RATES!H13-(O15+P15+Q15)*2)*12)&lt;=800000,(22500+(((RATES!H13-(O15+P15+Q15)*2)*12)-400000)*0.20)/24,IF(((RATES!H13-(O15+P15+Q15)*2)*12)&lt;=2000000,(102500+(((RATES!H13-(O15+P15+Q15)*2)*12)-800000)*0.25)/24,IF(((RATES!H13-(O15+P15+Q15)*2)*12)&lt;=8000000,(402500+(((RATES!H13-(O15+P15+Q15)*2)*12)-2000000)*0.30)/24,(2202500+(((RATES!H13-(O15+P15+Q15)*2)*12)-8000000)*0.35)/24))))),0)</f>
        <v>0</v>
      </c>
      <c r="S15" s="42">
        <v>0</v>
      </c>
      <c r="T15" s="42">
        <v>0</v>
      </c>
      <c r="U15" s="43">
        <f>F15+H15+I15+J15+K15+S15+T15-N15</f>
        <v>0</v>
      </c>
      <c r="V15" s="44">
        <f>O15+P15+Q15+R15</f>
        <v>440</v>
      </c>
      <c r="W15" s="45">
        <f>U15-V15</f>
        <v>-440</v>
      </c>
      <c r="X15" s="12"/>
    </row>
    <row r="16" spans="1:24">
      <c r="A16" s="4">
        <v>11</v>
      </c>
      <c r="B16" s="5">
        <v>5200507</v>
      </c>
      <c r="C16" s="6" t="s">
        <v>21</v>
      </c>
      <c r="D16" s="6"/>
      <c r="E16" s="5" t="s">
        <v>11</v>
      </c>
      <c r="F16" s="24">
        <f>RATES!F14*50.8501</f>
        <v>0</v>
      </c>
      <c r="G16" s="9">
        <f>RATES!F14</f>
        <v>0</v>
      </c>
      <c r="H16" s="25">
        <f>0</f>
        <v>0</v>
      </c>
      <c r="I16" s="26">
        <f>0</f>
        <v>0</v>
      </c>
      <c r="J16" s="26">
        <f>G16*0.10*0.0167</f>
        <v>0</v>
      </c>
      <c r="K16" s="27">
        <f>0</f>
        <v>0</v>
      </c>
      <c r="L16" s="28">
        <v>0.0</v>
      </c>
      <c r="M16" s="28">
        <v>0.0</v>
      </c>
      <c r="N16" s="29">
        <f>0</f>
        <v>0</v>
      </c>
      <c r="O16" s="30">
        <f>IFERROR(MIN(MAX(ROUND(RATES!H14*0.045/2,2),90),450),450)</f>
        <v>90</v>
      </c>
      <c r="P16" s="30">
        <f>IFERROR(ROUND(MIN(MAX(RATES!H14,10000),100000)*0.05/2,2),250)</f>
        <v>250</v>
      </c>
      <c r="Q16" s="30">
        <v>100</v>
      </c>
      <c r="R16" s="30">
        <f>IFERROR(IF(((RATES!H14-(O16+P16+Q16)*2)*12)&lt;=250000,0,IF(((RATES!H14-(O16+P16+Q16)*2)*12)&lt;=400000,(((RATES!H14-(O16+P16+Q16)*2)*12)-250000)*0.15/24,IF(((RATES!H14-(O16+P16+Q16)*2)*12)&lt;=800000,(22500+(((RATES!H14-(O16+P16+Q16)*2)*12)-400000)*0.20)/24,IF(((RATES!H14-(O16+P16+Q16)*2)*12)&lt;=2000000,(102500+(((RATES!H14-(O16+P16+Q16)*2)*12)-800000)*0.25)/24,IF(((RATES!H14-(O16+P16+Q16)*2)*12)&lt;=8000000,(402500+(((RATES!H14-(O16+P16+Q16)*2)*12)-2000000)*0.30)/24,(2202500+(((RATES!H14-(O16+P16+Q16)*2)*12)-8000000)*0.35)/24))))),0)</f>
        <v>0</v>
      </c>
      <c r="S16" s="31">
        <v>0</v>
      </c>
      <c r="T16" s="31">
        <v>0</v>
      </c>
      <c r="U16" s="32">
        <f>F16+H16+I16+J16+K16+S16+T16-N16</f>
        <v>0</v>
      </c>
      <c r="V16" s="33">
        <f>O16+P16+Q16+R16</f>
        <v>440</v>
      </c>
      <c r="W16" s="34">
        <f>U16-V16</f>
        <v>-440</v>
      </c>
      <c r="X16" s="6"/>
    </row>
    <row r="17" spans="1:24">
      <c r="A17" s="10">
        <v>12</v>
      </c>
      <c r="B17" s="11">
        <v>5200328</v>
      </c>
      <c r="C17" s="12" t="s">
        <v>22</v>
      </c>
      <c r="D17" s="12"/>
      <c r="E17" s="11" t="s">
        <v>11</v>
      </c>
      <c r="F17" s="35">
        <f>RATES!F15*0</f>
        <v>0</v>
      </c>
      <c r="G17" s="13">
        <f>RATES!F15</f>
        <v>0</v>
      </c>
      <c r="H17" s="36">
        <f>0</f>
        <v>0</v>
      </c>
      <c r="I17" s="37">
        <f>0</f>
        <v>0</v>
      </c>
      <c r="J17" s="37">
        <f>0</f>
        <v>0</v>
      </c>
      <c r="K17" s="38">
        <f>0</f>
        <v>0</v>
      </c>
      <c r="L17" s="39">
        <v>0.0</v>
      </c>
      <c r="M17" s="39">
        <v>0.0</v>
      </c>
      <c r="N17" s="40">
        <f>0</f>
        <v>0</v>
      </c>
      <c r="O17" s="41">
        <f>IFERROR(MIN(MAX(ROUND(RATES!H15*0.045/2,2),90),450),450)</f>
        <v>90</v>
      </c>
      <c r="P17" s="41">
        <f>IFERROR(ROUND(MIN(MAX(RATES!H15,10000),100000)*0.05/2,2),250)</f>
        <v>250</v>
      </c>
      <c r="Q17" s="41">
        <v>100</v>
      </c>
      <c r="R17" s="41">
        <f>IFERROR(IF(((RATES!H15-(O17+P17+Q17)*2)*12)&lt;=250000,0,IF(((RATES!H15-(O17+P17+Q17)*2)*12)&lt;=400000,(((RATES!H15-(O17+P17+Q17)*2)*12)-250000)*0.15/24,IF(((RATES!H15-(O17+P17+Q17)*2)*12)&lt;=800000,(22500+(((RATES!H15-(O17+P17+Q17)*2)*12)-400000)*0.20)/24,IF(((RATES!H15-(O17+P17+Q17)*2)*12)&lt;=2000000,(102500+(((RATES!H15-(O17+P17+Q17)*2)*12)-800000)*0.25)/24,IF(((RATES!H15-(O17+P17+Q17)*2)*12)&lt;=8000000,(402500+(((RATES!H15-(O17+P17+Q17)*2)*12)-2000000)*0.30)/24,(2202500+(((RATES!H15-(O17+P17+Q17)*2)*12)-8000000)*0.35)/24))))),0)</f>
        <v>0</v>
      </c>
      <c r="S17" s="42">
        <v>0</v>
      </c>
      <c r="T17" s="42">
        <v>0</v>
      </c>
      <c r="U17" s="43">
        <f>F17+H17+I17+J17+K17+S17+T17-N17</f>
        <v>0</v>
      </c>
      <c r="V17" s="44">
        <f>O17+P17+Q17+R17</f>
        <v>440</v>
      </c>
      <c r="W17" s="45">
        <f>U17-V17</f>
        <v>-440</v>
      </c>
      <c r="X17" s="12"/>
    </row>
    <row r="18" spans="1:24">
      <c r="A18" s="4">
        <v>13</v>
      </c>
      <c r="B18" s="5">
        <v>5200388</v>
      </c>
      <c r="C18" s="6" t="s">
        <v>23</v>
      </c>
      <c r="D18" s="6"/>
      <c r="E18" s="5" t="s">
        <v>11</v>
      </c>
      <c r="F18" s="24">
        <f>RATES!F16*48.0166</f>
        <v>0</v>
      </c>
      <c r="G18" s="9">
        <f>RATES!F16</f>
        <v>0</v>
      </c>
      <c r="H18" s="25">
        <f>0</f>
        <v>0</v>
      </c>
      <c r="I18" s="26">
        <f>0</f>
        <v>0</v>
      </c>
      <c r="J18" s="26">
        <f>G18*0.10*10.5</f>
        <v>0</v>
      </c>
      <c r="K18" s="27">
        <f>0</f>
        <v>0</v>
      </c>
      <c r="L18" s="28">
        <v>0.0</v>
      </c>
      <c r="M18" s="28">
        <v>0.0</v>
      </c>
      <c r="N18" s="29">
        <f>0</f>
        <v>0</v>
      </c>
      <c r="O18" s="30">
        <f>IFERROR(MIN(MAX(ROUND(RATES!H16*0.045/2,2),90),450),450)</f>
        <v>90</v>
      </c>
      <c r="P18" s="30">
        <f>IFERROR(ROUND(MIN(MAX(RATES!H16,10000),100000)*0.05/2,2),250)</f>
        <v>250</v>
      </c>
      <c r="Q18" s="30">
        <v>100</v>
      </c>
      <c r="R18" s="30">
        <f>IFERROR(IF(((RATES!H16-(O18+P18+Q18)*2)*12)&lt;=250000,0,IF(((RATES!H16-(O18+P18+Q18)*2)*12)&lt;=400000,(((RATES!H16-(O18+P18+Q18)*2)*12)-250000)*0.15/24,IF(((RATES!H16-(O18+P18+Q18)*2)*12)&lt;=800000,(22500+(((RATES!H16-(O18+P18+Q18)*2)*12)-400000)*0.20)/24,IF(((RATES!H16-(O18+P18+Q18)*2)*12)&lt;=2000000,(102500+(((RATES!H16-(O18+P18+Q18)*2)*12)-800000)*0.25)/24,IF(((RATES!H16-(O18+P18+Q18)*2)*12)&lt;=8000000,(402500+(((RATES!H16-(O18+P18+Q18)*2)*12)-2000000)*0.30)/24,(2202500+(((RATES!H16-(O18+P18+Q18)*2)*12)-8000000)*0.35)/24))))),0)</f>
        <v>0</v>
      </c>
      <c r="S18" s="31">
        <v>0</v>
      </c>
      <c r="T18" s="31">
        <v>0</v>
      </c>
      <c r="U18" s="32">
        <f>F18+H18+I18+J18+K18+S18+T18-N18</f>
        <v>0</v>
      </c>
      <c r="V18" s="33">
        <f>O18+P18+Q18+R18</f>
        <v>440</v>
      </c>
      <c r="W18" s="34">
        <f>U18-V18</f>
        <v>-440</v>
      </c>
      <c r="X18" s="6"/>
    </row>
    <row r="19" spans="1:24">
      <c r="A19" s="10">
        <v>14</v>
      </c>
      <c r="B19" s="11">
        <v>5200343</v>
      </c>
      <c r="C19" s="12" t="s">
        <v>24</v>
      </c>
      <c r="D19" s="12"/>
      <c r="E19" s="11" t="s">
        <v>11</v>
      </c>
      <c r="F19" s="35">
        <f>RATES!F17*26.8001</f>
        <v>0</v>
      </c>
      <c r="G19" s="13">
        <f>RATES!F17</f>
        <v>0</v>
      </c>
      <c r="H19" s="36">
        <f>0</f>
        <v>0</v>
      </c>
      <c r="I19" s="37">
        <f>0</f>
        <v>0</v>
      </c>
      <c r="J19" s="37">
        <f>G19*0.10*10</f>
        <v>0</v>
      </c>
      <c r="K19" s="38">
        <f>0</f>
        <v>0</v>
      </c>
      <c r="L19" s="39">
        <v>0.0</v>
      </c>
      <c r="M19" s="39">
        <v>0.0</v>
      </c>
      <c r="N19" s="40">
        <f>0</f>
        <v>0</v>
      </c>
      <c r="O19" s="41">
        <f>IFERROR(MIN(MAX(ROUND(RATES!H17*0.045/2,2),90),450),450)</f>
        <v>90</v>
      </c>
      <c r="P19" s="41">
        <f>IFERROR(ROUND(MIN(MAX(RATES!H17,10000),100000)*0.05/2,2),250)</f>
        <v>250</v>
      </c>
      <c r="Q19" s="41">
        <v>100</v>
      </c>
      <c r="R19" s="41">
        <f>IFERROR(IF(((RATES!H17-(O19+P19+Q19)*2)*12)&lt;=250000,0,IF(((RATES!H17-(O19+P19+Q19)*2)*12)&lt;=400000,(((RATES!H17-(O19+P19+Q19)*2)*12)-250000)*0.15/24,IF(((RATES!H17-(O19+P19+Q19)*2)*12)&lt;=800000,(22500+(((RATES!H17-(O19+P19+Q19)*2)*12)-400000)*0.20)/24,IF(((RATES!H17-(O19+P19+Q19)*2)*12)&lt;=2000000,(102500+(((RATES!H17-(O19+P19+Q19)*2)*12)-800000)*0.25)/24,IF(((RATES!H17-(O19+P19+Q19)*2)*12)&lt;=8000000,(402500+(((RATES!H17-(O19+P19+Q19)*2)*12)-2000000)*0.30)/24,(2202500+(((RATES!H17-(O19+P19+Q19)*2)*12)-8000000)*0.35)/24))))),0)</f>
        <v>0</v>
      </c>
      <c r="S19" s="42">
        <v>0</v>
      </c>
      <c r="T19" s="42">
        <v>0</v>
      </c>
      <c r="U19" s="43">
        <f>F19+H19+I19+J19+K19+S19+T19-N19</f>
        <v>0</v>
      </c>
      <c r="V19" s="44">
        <f>O19+P19+Q19+R19</f>
        <v>440</v>
      </c>
      <c r="W19" s="45">
        <f>U19-V19</f>
        <v>-440</v>
      </c>
      <c r="X19" s="12"/>
    </row>
    <row r="20" spans="1:24">
      <c r="A20" s="4">
        <v>15</v>
      </c>
      <c r="B20" s="5">
        <v>5200084</v>
      </c>
      <c r="C20" s="6" t="s">
        <v>25</v>
      </c>
      <c r="D20" s="6"/>
      <c r="E20" s="5" t="s">
        <v>11</v>
      </c>
      <c r="F20" s="24">
        <f>RATES!F18*27.0334</f>
        <v>0</v>
      </c>
      <c r="G20" s="9">
        <f>RATES!F18</f>
        <v>0</v>
      </c>
      <c r="H20" s="25">
        <f>0</f>
        <v>0</v>
      </c>
      <c r="I20" s="26">
        <f>0</f>
        <v>0</v>
      </c>
      <c r="J20" s="26">
        <f>G20*0.10*9.25</f>
        <v>0</v>
      </c>
      <c r="K20" s="27">
        <f>0</f>
        <v>0</v>
      </c>
      <c r="L20" s="28">
        <v>0.0</v>
      </c>
      <c r="M20" s="28">
        <v>0.0</v>
      </c>
      <c r="N20" s="29">
        <f>0</f>
        <v>0</v>
      </c>
      <c r="O20" s="30">
        <f>IFERROR(MIN(MAX(ROUND(RATES!H18*0.045/2,2),90),450),450)</f>
        <v>90</v>
      </c>
      <c r="P20" s="30">
        <f>IFERROR(ROUND(MIN(MAX(RATES!H18,10000),100000)*0.05/2,2),250)</f>
        <v>250</v>
      </c>
      <c r="Q20" s="30">
        <v>100</v>
      </c>
      <c r="R20" s="30">
        <f>IFERROR(IF(((RATES!H18-(O20+P20+Q20)*2)*12)&lt;=250000,0,IF(((RATES!H18-(O20+P20+Q20)*2)*12)&lt;=400000,(((RATES!H18-(O20+P20+Q20)*2)*12)-250000)*0.15/24,IF(((RATES!H18-(O20+P20+Q20)*2)*12)&lt;=800000,(22500+(((RATES!H18-(O20+P20+Q20)*2)*12)-400000)*0.20)/24,IF(((RATES!H18-(O20+P20+Q20)*2)*12)&lt;=2000000,(102500+(((RATES!H18-(O20+P20+Q20)*2)*12)-800000)*0.25)/24,IF(((RATES!H18-(O20+P20+Q20)*2)*12)&lt;=8000000,(402500+(((RATES!H18-(O20+P20+Q20)*2)*12)-2000000)*0.30)/24,(2202500+(((RATES!H18-(O20+P20+Q20)*2)*12)-8000000)*0.35)/24))))),0)</f>
        <v>0</v>
      </c>
      <c r="S20" s="31">
        <v>0</v>
      </c>
      <c r="T20" s="31">
        <v>0</v>
      </c>
      <c r="U20" s="32">
        <f>F20+H20+I20+J20+K20+S20+T20-N20</f>
        <v>0</v>
      </c>
      <c r="V20" s="33">
        <f>O20+P20+Q20+R20</f>
        <v>440</v>
      </c>
      <c r="W20" s="34">
        <f>U20-V20</f>
        <v>-440</v>
      </c>
      <c r="X20" s="6"/>
    </row>
    <row r="21" spans="1:24">
      <c r="A21" s="10">
        <v>16</v>
      </c>
      <c r="B21" s="11">
        <v>5200357</v>
      </c>
      <c r="C21" s="12" t="s">
        <v>26</v>
      </c>
      <c r="D21" s="12"/>
      <c r="E21" s="11" t="s">
        <v>11</v>
      </c>
      <c r="F21" s="35">
        <f>RATES!F19*21.4334</f>
        <v>0</v>
      </c>
      <c r="G21" s="13">
        <f>RATES!F19</f>
        <v>0</v>
      </c>
      <c r="H21" s="36">
        <f>0</f>
        <v>0</v>
      </c>
      <c r="I21" s="37">
        <f>0</f>
        <v>0</v>
      </c>
      <c r="J21" s="37">
        <f>0</f>
        <v>0</v>
      </c>
      <c r="K21" s="38">
        <f>0</f>
        <v>0</v>
      </c>
      <c r="L21" s="39">
        <v>0.0</v>
      </c>
      <c r="M21" s="39">
        <v>0.0</v>
      </c>
      <c r="N21" s="40">
        <f>0</f>
        <v>0</v>
      </c>
      <c r="O21" s="41">
        <f>IFERROR(MIN(MAX(ROUND(RATES!H19*0.045/2,2),90),450),450)</f>
        <v>90</v>
      </c>
      <c r="P21" s="41">
        <f>IFERROR(ROUND(MIN(MAX(RATES!H19,10000),100000)*0.05/2,2),250)</f>
        <v>250</v>
      </c>
      <c r="Q21" s="41">
        <v>100</v>
      </c>
      <c r="R21" s="41">
        <f>IFERROR(IF(((RATES!H19-(O21+P21+Q21)*2)*12)&lt;=250000,0,IF(((RATES!H19-(O21+P21+Q21)*2)*12)&lt;=400000,(((RATES!H19-(O21+P21+Q21)*2)*12)-250000)*0.15/24,IF(((RATES!H19-(O21+P21+Q21)*2)*12)&lt;=800000,(22500+(((RATES!H19-(O21+P21+Q21)*2)*12)-400000)*0.20)/24,IF(((RATES!H19-(O21+P21+Q21)*2)*12)&lt;=2000000,(102500+(((RATES!H19-(O21+P21+Q21)*2)*12)-800000)*0.25)/24,IF(((RATES!H19-(O21+P21+Q21)*2)*12)&lt;=8000000,(402500+(((RATES!H19-(O21+P21+Q21)*2)*12)-2000000)*0.30)/24,(2202500+(((RATES!H19-(O21+P21+Q21)*2)*12)-8000000)*0.35)/24))))),0)</f>
        <v>0</v>
      </c>
      <c r="S21" s="42">
        <v>0</v>
      </c>
      <c r="T21" s="42">
        <v>0</v>
      </c>
      <c r="U21" s="43">
        <f>F21+H21+I21+J21+K21+S21+T21-N21</f>
        <v>0</v>
      </c>
      <c r="V21" s="44">
        <f>O21+P21+Q21+R21</f>
        <v>440</v>
      </c>
      <c r="W21" s="45">
        <f>U21-V21</f>
        <v>-440</v>
      </c>
      <c r="X21" s="12"/>
    </row>
    <row r="22" spans="1:24">
      <c r="A22" s="4">
        <v>17</v>
      </c>
      <c r="B22" s="5">
        <v>5200552</v>
      </c>
      <c r="C22" s="6" t="s">
        <v>27</v>
      </c>
      <c r="D22" s="6"/>
      <c r="E22" s="5" t="s">
        <v>11</v>
      </c>
      <c r="F22" s="24">
        <f>RATES!F20*33.2166</f>
        <v>0</v>
      </c>
      <c r="G22" s="9">
        <f>RATES!F20</f>
        <v>0</v>
      </c>
      <c r="H22" s="25">
        <f>0</f>
        <v>0</v>
      </c>
      <c r="I22" s="26">
        <f>0</f>
        <v>0</v>
      </c>
      <c r="J22" s="26">
        <f>G22*0.10*10.0333</f>
        <v>0</v>
      </c>
      <c r="K22" s="27">
        <f>0</f>
        <v>0</v>
      </c>
      <c r="L22" s="28">
        <v>0.0</v>
      </c>
      <c r="M22" s="28">
        <v>0.0</v>
      </c>
      <c r="N22" s="29">
        <f>0</f>
        <v>0</v>
      </c>
      <c r="O22" s="30">
        <f>IFERROR(MIN(MAX(ROUND(RATES!H20*0.045/2,2),90),450),450)</f>
        <v>90</v>
      </c>
      <c r="P22" s="30">
        <f>IFERROR(ROUND(MIN(MAX(RATES!H20,10000),100000)*0.05/2,2),250)</f>
        <v>250</v>
      </c>
      <c r="Q22" s="30">
        <v>100</v>
      </c>
      <c r="R22" s="30">
        <f>IFERROR(IF(((RATES!H20-(O22+P22+Q22)*2)*12)&lt;=250000,0,IF(((RATES!H20-(O22+P22+Q22)*2)*12)&lt;=400000,(((RATES!H20-(O22+P22+Q22)*2)*12)-250000)*0.15/24,IF(((RATES!H20-(O22+P22+Q22)*2)*12)&lt;=800000,(22500+(((RATES!H20-(O22+P22+Q22)*2)*12)-400000)*0.20)/24,IF(((RATES!H20-(O22+P22+Q22)*2)*12)&lt;=2000000,(102500+(((RATES!H20-(O22+P22+Q22)*2)*12)-800000)*0.25)/24,IF(((RATES!H20-(O22+P22+Q22)*2)*12)&lt;=8000000,(402500+(((RATES!H20-(O22+P22+Q22)*2)*12)-2000000)*0.30)/24,(2202500+(((RATES!H20-(O22+P22+Q22)*2)*12)-8000000)*0.35)/24))))),0)</f>
        <v>0</v>
      </c>
      <c r="S22" s="31">
        <v>0</v>
      </c>
      <c r="T22" s="31">
        <v>0</v>
      </c>
      <c r="U22" s="32">
        <f>F22+H22+I22+J22+K22+S22+T22-N22</f>
        <v>0</v>
      </c>
      <c r="V22" s="33">
        <f>O22+P22+Q22+R22</f>
        <v>440</v>
      </c>
      <c r="W22" s="34">
        <f>U22-V22</f>
        <v>-440</v>
      </c>
      <c r="X22" s="6"/>
    </row>
    <row r="23" spans="1:24">
      <c r="A23" s="10">
        <v>18</v>
      </c>
      <c r="B23" s="11">
        <v>5200421</v>
      </c>
      <c r="C23" s="12" t="s">
        <v>28</v>
      </c>
      <c r="D23" s="12"/>
      <c r="E23" s="11" t="s">
        <v>11</v>
      </c>
      <c r="F23" s="35">
        <f>RATES!F21*55.0833</f>
        <v>0</v>
      </c>
      <c r="G23" s="13">
        <f>RATES!F21</f>
        <v>0</v>
      </c>
      <c r="H23" s="36">
        <f>0</f>
        <v>0</v>
      </c>
      <c r="I23" s="37">
        <f>0</f>
        <v>0</v>
      </c>
      <c r="J23" s="37">
        <f>G23*0.10*18.5</f>
        <v>0</v>
      </c>
      <c r="K23" s="38">
        <f>0</f>
        <v>0</v>
      </c>
      <c r="L23" s="39">
        <v>0.0</v>
      </c>
      <c r="M23" s="39">
        <v>0.0</v>
      </c>
      <c r="N23" s="40">
        <f>0</f>
        <v>0</v>
      </c>
      <c r="O23" s="41">
        <f>IFERROR(MIN(MAX(ROUND(RATES!H21*0.045/2,2),90),450),450)</f>
        <v>90</v>
      </c>
      <c r="P23" s="41">
        <f>IFERROR(ROUND(MIN(MAX(RATES!H21,10000),100000)*0.05/2,2),250)</f>
        <v>250</v>
      </c>
      <c r="Q23" s="41">
        <v>100</v>
      </c>
      <c r="R23" s="41">
        <f>IFERROR(IF(((RATES!H21-(O23+P23+Q23)*2)*12)&lt;=250000,0,IF(((RATES!H21-(O23+P23+Q23)*2)*12)&lt;=400000,(((RATES!H21-(O23+P23+Q23)*2)*12)-250000)*0.15/24,IF(((RATES!H21-(O23+P23+Q23)*2)*12)&lt;=800000,(22500+(((RATES!H21-(O23+P23+Q23)*2)*12)-400000)*0.20)/24,IF(((RATES!H21-(O23+P23+Q23)*2)*12)&lt;=2000000,(102500+(((RATES!H21-(O23+P23+Q23)*2)*12)-800000)*0.25)/24,IF(((RATES!H21-(O23+P23+Q23)*2)*12)&lt;=8000000,(402500+(((RATES!H21-(O23+P23+Q23)*2)*12)-2000000)*0.30)/24,(2202500+(((RATES!H21-(O23+P23+Q23)*2)*12)-8000000)*0.35)/24))))),0)</f>
        <v>0</v>
      </c>
      <c r="S23" s="42">
        <v>0</v>
      </c>
      <c r="T23" s="42">
        <v>0</v>
      </c>
      <c r="U23" s="43">
        <f>F23+H23+I23+J23+K23+S23+T23-N23</f>
        <v>0</v>
      </c>
      <c r="V23" s="44">
        <f>O23+P23+Q23+R23</f>
        <v>440</v>
      </c>
      <c r="W23" s="45">
        <f>U23-V23</f>
        <v>-440</v>
      </c>
      <c r="X23" s="12"/>
    </row>
    <row r="24" spans="1:24">
      <c r="A24" s="4">
        <v>19</v>
      </c>
      <c r="B24" s="5">
        <v>5200332</v>
      </c>
      <c r="C24" s="6" t="s">
        <v>29</v>
      </c>
      <c r="D24" s="6"/>
      <c r="E24" s="5" t="s">
        <v>11</v>
      </c>
      <c r="F24" s="24">
        <f>RATES!F22*64.7334</f>
        <v>0</v>
      </c>
      <c r="G24" s="9">
        <f>RATES!F22</f>
        <v>0</v>
      </c>
      <c r="H24" s="25">
        <f>0</f>
        <v>0</v>
      </c>
      <c r="I24" s="26">
        <f>0</f>
        <v>0</v>
      </c>
      <c r="J24" s="26">
        <f>G24*0.10*11.0334</f>
        <v>0</v>
      </c>
      <c r="K24" s="27">
        <f>0</f>
        <v>0</v>
      </c>
      <c r="L24" s="28">
        <v>0.0</v>
      </c>
      <c r="M24" s="28">
        <v>0.0</v>
      </c>
      <c r="N24" s="29">
        <f>0</f>
        <v>0</v>
      </c>
      <c r="O24" s="30">
        <f>IFERROR(MIN(MAX(ROUND(RATES!H22*0.045/2,2),90),450),450)</f>
        <v>90</v>
      </c>
      <c r="P24" s="30">
        <f>IFERROR(ROUND(MIN(MAX(RATES!H22,10000),100000)*0.05/2,2),250)</f>
        <v>250</v>
      </c>
      <c r="Q24" s="30">
        <v>100</v>
      </c>
      <c r="R24" s="30">
        <f>IFERROR(IF(((RATES!H22-(O24+P24+Q24)*2)*12)&lt;=250000,0,IF(((RATES!H22-(O24+P24+Q24)*2)*12)&lt;=400000,(((RATES!H22-(O24+P24+Q24)*2)*12)-250000)*0.15/24,IF(((RATES!H22-(O24+P24+Q24)*2)*12)&lt;=800000,(22500+(((RATES!H22-(O24+P24+Q24)*2)*12)-400000)*0.20)/24,IF(((RATES!H22-(O24+P24+Q24)*2)*12)&lt;=2000000,(102500+(((RATES!H22-(O24+P24+Q24)*2)*12)-800000)*0.25)/24,IF(((RATES!H22-(O24+P24+Q24)*2)*12)&lt;=8000000,(402500+(((RATES!H22-(O24+P24+Q24)*2)*12)-2000000)*0.30)/24,(2202500+(((RATES!H22-(O24+P24+Q24)*2)*12)-8000000)*0.35)/24))))),0)</f>
        <v>0</v>
      </c>
      <c r="S24" s="31">
        <v>0</v>
      </c>
      <c r="T24" s="31">
        <v>0</v>
      </c>
      <c r="U24" s="32">
        <f>F24+H24+I24+J24+K24+S24+T24-N24</f>
        <v>0</v>
      </c>
      <c r="V24" s="33">
        <f>O24+P24+Q24+R24</f>
        <v>440</v>
      </c>
      <c r="W24" s="34">
        <f>U24-V24</f>
        <v>-440</v>
      </c>
      <c r="X24" s="6"/>
    </row>
    <row r="25" spans="1:24">
      <c r="A25" s="10">
        <v>20</v>
      </c>
      <c r="B25" s="11">
        <v>5200393</v>
      </c>
      <c r="C25" s="12" t="s">
        <v>30</v>
      </c>
      <c r="D25" s="12"/>
      <c r="E25" s="11" t="s">
        <v>11</v>
      </c>
      <c r="F25" s="35">
        <f>RATES!F23*14.4</f>
        <v>0</v>
      </c>
      <c r="G25" s="13">
        <f>RATES!F23</f>
        <v>0</v>
      </c>
      <c r="H25" s="36">
        <f>0</f>
        <v>0</v>
      </c>
      <c r="I25" s="37">
        <f>0</f>
        <v>0</v>
      </c>
      <c r="J25" s="37">
        <f>G25*0.10*2.5</f>
        <v>0</v>
      </c>
      <c r="K25" s="38">
        <f>0</f>
        <v>0</v>
      </c>
      <c r="L25" s="39">
        <v>0.0</v>
      </c>
      <c r="M25" s="39">
        <v>0.0</v>
      </c>
      <c r="N25" s="40">
        <f>0</f>
        <v>0</v>
      </c>
      <c r="O25" s="41">
        <f>IFERROR(MIN(MAX(ROUND(RATES!H23*0.045/2,2),90),450),450)</f>
        <v>90</v>
      </c>
      <c r="P25" s="41">
        <f>IFERROR(ROUND(MIN(MAX(RATES!H23,10000),100000)*0.05/2,2),250)</f>
        <v>250</v>
      </c>
      <c r="Q25" s="41">
        <v>100</v>
      </c>
      <c r="R25" s="41">
        <f>IFERROR(IF(((RATES!H23-(O25+P25+Q25)*2)*12)&lt;=250000,0,IF(((RATES!H23-(O25+P25+Q25)*2)*12)&lt;=400000,(((RATES!H23-(O25+P25+Q25)*2)*12)-250000)*0.15/24,IF(((RATES!H23-(O25+P25+Q25)*2)*12)&lt;=800000,(22500+(((RATES!H23-(O25+P25+Q25)*2)*12)-400000)*0.20)/24,IF(((RATES!H23-(O25+P25+Q25)*2)*12)&lt;=2000000,(102500+(((RATES!H23-(O25+P25+Q25)*2)*12)-800000)*0.25)/24,IF(((RATES!H23-(O25+P25+Q25)*2)*12)&lt;=8000000,(402500+(((RATES!H23-(O25+P25+Q25)*2)*12)-2000000)*0.30)/24,(2202500+(((RATES!H23-(O25+P25+Q25)*2)*12)-8000000)*0.35)/24))))),0)</f>
        <v>0</v>
      </c>
      <c r="S25" s="42">
        <v>0</v>
      </c>
      <c r="T25" s="42">
        <v>0</v>
      </c>
      <c r="U25" s="43">
        <f>F25+H25+I25+J25+K25+S25+T25-N25</f>
        <v>0</v>
      </c>
      <c r="V25" s="44">
        <f>O25+P25+Q25+R25</f>
        <v>440</v>
      </c>
      <c r="W25" s="45">
        <f>U25-V25</f>
        <v>-440</v>
      </c>
      <c r="X25" s="12"/>
    </row>
    <row r="26" spans="1:24">
      <c r="A26" s="4">
        <v>21</v>
      </c>
      <c r="B26" s="5">
        <v>5200491</v>
      </c>
      <c r="C26" s="6" t="s">
        <v>31</v>
      </c>
      <c r="D26" s="6"/>
      <c r="E26" s="5" t="s">
        <v>11</v>
      </c>
      <c r="F26" s="24">
        <f>RATES!F24*38.8</f>
        <v>0</v>
      </c>
      <c r="G26" s="9">
        <f>RATES!F24</f>
        <v>0</v>
      </c>
      <c r="H26" s="25">
        <f>0</f>
        <v>0</v>
      </c>
      <c r="I26" s="26">
        <f>0</f>
        <v>0</v>
      </c>
      <c r="J26" s="26">
        <f>G26*0.10*7.5</f>
        <v>0</v>
      </c>
      <c r="K26" s="27">
        <f>0</f>
        <v>0</v>
      </c>
      <c r="L26" s="28">
        <v>0.0</v>
      </c>
      <c r="M26" s="28">
        <v>0.0</v>
      </c>
      <c r="N26" s="29">
        <f>0</f>
        <v>0</v>
      </c>
      <c r="O26" s="30">
        <f>IFERROR(MIN(MAX(ROUND(RATES!H24*0.045/2,2),90),450),450)</f>
        <v>90</v>
      </c>
      <c r="P26" s="30">
        <f>IFERROR(ROUND(MIN(MAX(RATES!H24,10000),100000)*0.05/2,2),250)</f>
        <v>250</v>
      </c>
      <c r="Q26" s="30">
        <v>100</v>
      </c>
      <c r="R26" s="30">
        <f>IFERROR(IF(((RATES!H24-(O26+P26+Q26)*2)*12)&lt;=250000,0,IF(((RATES!H24-(O26+P26+Q26)*2)*12)&lt;=400000,(((RATES!H24-(O26+P26+Q26)*2)*12)-250000)*0.15/24,IF(((RATES!H24-(O26+P26+Q26)*2)*12)&lt;=800000,(22500+(((RATES!H24-(O26+P26+Q26)*2)*12)-400000)*0.20)/24,IF(((RATES!H24-(O26+P26+Q26)*2)*12)&lt;=2000000,(102500+(((RATES!H24-(O26+P26+Q26)*2)*12)-800000)*0.25)/24,IF(((RATES!H24-(O26+P26+Q26)*2)*12)&lt;=8000000,(402500+(((RATES!H24-(O26+P26+Q26)*2)*12)-2000000)*0.30)/24,(2202500+(((RATES!H24-(O26+P26+Q26)*2)*12)-8000000)*0.35)/24))))),0)</f>
        <v>0</v>
      </c>
      <c r="S26" s="31">
        <v>0</v>
      </c>
      <c r="T26" s="31">
        <v>0</v>
      </c>
      <c r="U26" s="32">
        <f>F26+H26+I26+J26+K26+S26+T26-N26</f>
        <v>0</v>
      </c>
      <c r="V26" s="33">
        <f>O26+P26+Q26+R26</f>
        <v>440</v>
      </c>
      <c r="W26" s="34">
        <f>U26-V26</f>
        <v>-440</v>
      </c>
      <c r="X26" s="6"/>
    </row>
    <row r="27" spans="1:24">
      <c r="A27" s="10">
        <v>22</v>
      </c>
      <c r="B27" s="11">
        <v>5200475</v>
      </c>
      <c r="C27" s="12" t="s">
        <v>32</v>
      </c>
      <c r="D27" s="12"/>
      <c r="E27" s="11" t="s">
        <v>11</v>
      </c>
      <c r="F27" s="35">
        <f>RATES!F25*0</f>
        <v>0</v>
      </c>
      <c r="G27" s="13">
        <f>RATES!F25</f>
        <v>0</v>
      </c>
      <c r="H27" s="36">
        <f>0</f>
        <v>0</v>
      </c>
      <c r="I27" s="37">
        <f>0</f>
        <v>0</v>
      </c>
      <c r="J27" s="37">
        <f>0</f>
        <v>0</v>
      </c>
      <c r="K27" s="38">
        <f>0</f>
        <v>0</v>
      </c>
      <c r="L27" s="39">
        <v>0.0</v>
      </c>
      <c r="M27" s="39">
        <v>0.0</v>
      </c>
      <c r="N27" s="40">
        <f>0</f>
        <v>0</v>
      </c>
      <c r="O27" s="41">
        <f>IFERROR(MIN(MAX(ROUND(RATES!H25*0.045/2,2),90),450),450)</f>
        <v>90</v>
      </c>
      <c r="P27" s="41">
        <f>IFERROR(ROUND(MIN(MAX(RATES!H25,10000),100000)*0.05/2,2),250)</f>
        <v>250</v>
      </c>
      <c r="Q27" s="41">
        <v>100</v>
      </c>
      <c r="R27" s="41">
        <f>IFERROR(IF(((RATES!H25-(O27+P27+Q27)*2)*12)&lt;=250000,0,IF(((RATES!H25-(O27+P27+Q27)*2)*12)&lt;=400000,(((RATES!H25-(O27+P27+Q27)*2)*12)-250000)*0.15/24,IF(((RATES!H25-(O27+P27+Q27)*2)*12)&lt;=800000,(22500+(((RATES!H25-(O27+P27+Q27)*2)*12)-400000)*0.20)/24,IF(((RATES!H25-(O27+P27+Q27)*2)*12)&lt;=2000000,(102500+(((RATES!H25-(O27+P27+Q27)*2)*12)-800000)*0.25)/24,IF(((RATES!H25-(O27+P27+Q27)*2)*12)&lt;=8000000,(402500+(((RATES!H25-(O27+P27+Q27)*2)*12)-2000000)*0.30)/24,(2202500+(((RATES!H25-(O27+P27+Q27)*2)*12)-8000000)*0.35)/24))))),0)</f>
        <v>0</v>
      </c>
      <c r="S27" s="42">
        <v>0</v>
      </c>
      <c r="T27" s="42">
        <v>0</v>
      </c>
      <c r="U27" s="43">
        <f>F27+H27+I27+J27+K27+S27+T27-N27</f>
        <v>0</v>
      </c>
      <c r="V27" s="44">
        <f>O27+P27+Q27+R27</f>
        <v>440</v>
      </c>
      <c r="W27" s="45">
        <f>U27-V27</f>
        <v>-440</v>
      </c>
      <c r="X27" s="12"/>
    </row>
    <row r="28" spans="1:24">
      <c r="A28" s="4">
        <v>23</v>
      </c>
      <c r="B28" s="5">
        <v>5200523</v>
      </c>
      <c r="C28" s="6" t="s">
        <v>33</v>
      </c>
      <c r="D28" s="6"/>
      <c r="E28" s="5" t="s">
        <v>11</v>
      </c>
      <c r="F28" s="24">
        <f>RATES!F26*23.9666</f>
        <v>0</v>
      </c>
      <c r="G28" s="9">
        <f>RATES!F26</f>
        <v>0</v>
      </c>
      <c r="H28" s="25">
        <f>0</f>
        <v>0</v>
      </c>
      <c r="I28" s="26">
        <f>0</f>
        <v>0</v>
      </c>
      <c r="J28" s="26">
        <f>G28*0.10*8.25</f>
        <v>0</v>
      </c>
      <c r="K28" s="27">
        <f>0</f>
        <v>0</v>
      </c>
      <c r="L28" s="28">
        <v>0.0</v>
      </c>
      <c r="M28" s="28">
        <v>0.0</v>
      </c>
      <c r="N28" s="29">
        <f>0</f>
        <v>0</v>
      </c>
      <c r="O28" s="30">
        <f>IFERROR(MIN(MAX(ROUND(RATES!H26*0.045/2,2),90),450),450)</f>
        <v>90</v>
      </c>
      <c r="P28" s="30">
        <f>IFERROR(ROUND(MIN(MAX(RATES!H26,10000),100000)*0.05/2,2),250)</f>
        <v>250</v>
      </c>
      <c r="Q28" s="30">
        <v>100</v>
      </c>
      <c r="R28" s="30">
        <f>IFERROR(IF(((RATES!H26-(O28+P28+Q28)*2)*12)&lt;=250000,0,IF(((RATES!H26-(O28+P28+Q28)*2)*12)&lt;=400000,(((RATES!H26-(O28+P28+Q28)*2)*12)-250000)*0.15/24,IF(((RATES!H26-(O28+P28+Q28)*2)*12)&lt;=800000,(22500+(((RATES!H26-(O28+P28+Q28)*2)*12)-400000)*0.20)/24,IF(((RATES!H26-(O28+P28+Q28)*2)*12)&lt;=2000000,(102500+(((RATES!H26-(O28+P28+Q28)*2)*12)-800000)*0.25)/24,IF(((RATES!H26-(O28+P28+Q28)*2)*12)&lt;=8000000,(402500+(((RATES!H26-(O28+P28+Q28)*2)*12)-2000000)*0.30)/24,(2202500+(((RATES!H26-(O28+P28+Q28)*2)*12)-8000000)*0.35)/24))))),0)</f>
        <v>0</v>
      </c>
      <c r="S28" s="31">
        <v>0</v>
      </c>
      <c r="T28" s="31">
        <v>0</v>
      </c>
      <c r="U28" s="32">
        <f>F28+H28+I28+J28+K28+S28+T28-N28</f>
        <v>0</v>
      </c>
      <c r="V28" s="33">
        <f>O28+P28+Q28+R28</f>
        <v>440</v>
      </c>
      <c r="W28" s="34">
        <f>U28-V28</f>
        <v>-440</v>
      </c>
      <c r="X28" s="6"/>
    </row>
    <row r="29" spans="1:24">
      <c r="A29" s="10">
        <v>24</v>
      </c>
      <c r="B29" s="11">
        <v>5200122</v>
      </c>
      <c r="C29" s="12" t="s">
        <v>34</v>
      </c>
      <c r="D29" s="12"/>
      <c r="E29" s="11" t="s">
        <v>11</v>
      </c>
      <c r="F29" s="35">
        <f>RATES!F27*42.35</f>
        <v>0</v>
      </c>
      <c r="G29" s="13">
        <f>RATES!F27</f>
        <v>0</v>
      </c>
      <c r="H29" s="36">
        <f>0</f>
        <v>0</v>
      </c>
      <c r="I29" s="37">
        <f>0</f>
        <v>0</v>
      </c>
      <c r="J29" s="37">
        <f>G29*0.10*13.0833</f>
        <v>0</v>
      </c>
      <c r="K29" s="38">
        <f>0</f>
        <v>0</v>
      </c>
      <c r="L29" s="39">
        <v>0.0</v>
      </c>
      <c r="M29" s="39">
        <v>0.0</v>
      </c>
      <c r="N29" s="40">
        <f>0</f>
        <v>0</v>
      </c>
      <c r="O29" s="41">
        <f>IFERROR(MIN(MAX(ROUND(RATES!H27*0.045/2,2),90),450),450)</f>
        <v>90</v>
      </c>
      <c r="P29" s="41">
        <f>IFERROR(ROUND(MIN(MAX(RATES!H27,10000),100000)*0.05/2,2),250)</f>
        <v>250</v>
      </c>
      <c r="Q29" s="41">
        <v>100</v>
      </c>
      <c r="R29" s="41">
        <f>IFERROR(IF(((RATES!H27-(O29+P29+Q29)*2)*12)&lt;=250000,0,IF(((RATES!H27-(O29+P29+Q29)*2)*12)&lt;=400000,(((RATES!H27-(O29+P29+Q29)*2)*12)-250000)*0.15/24,IF(((RATES!H27-(O29+P29+Q29)*2)*12)&lt;=800000,(22500+(((RATES!H27-(O29+P29+Q29)*2)*12)-400000)*0.20)/24,IF(((RATES!H27-(O29+P29+Q29)*2)*12)&lt;=2000000,(102500+(((RATES!H27-(O29+P29+Q29)*2)*12)-800000)*0.25)/24,IF(((RATES!H27-(O29+P29+Q29)*2)*12)&lt;=8000000,(402500+(((RATES!H27-(O29+P29+Q29)*2)*12)-2000000)*0.30)/24,(2202500+(((RATES!H27-(O29+P29+Q29)*2)*12)-8000000)*0.35)/24))))),0)</f>
        <v>0</v>
      </c>
      <c r="S29" s="42">
        <v>0</v>
      </c>
      <c r="T29" s="42">
        <v>0</v>
      </c>
      <c r="U29" s="43">
        <f>F29+H29+I29+J29+K29+S29+T29-N29</f>
        <v>0</v>
      </c>
      <c r="V29" s="44">
        <f>O29+P29+Q29+R29</f>
        <v>440</v>
      </c>
      <c r="W29" s="45">
        <f>U29-V29</f>
        <v>-440</v>
      </c>
      <c r="X29" s="12"/>
    </row>
    <row r="30" spans="1:24">
      <c r="A30" s="4">
        <v>25</v>
      </c>
      <c r="B30" s="5">
        <v>5200495</v>
      </c>
      <c r="C30" s="6" t="s">
        <v>35</v>
      </c>
      <c r="D30" s="6"/>
      <c r="E30" s="5" t="s">
        <v>11</v>
      </c>
      <c r="F30" s="24">
        <f>RATES!F28*32.8167</f>
        <v>0</v>
      </c>
      <c r="G30" s="9">
        <f>RATES!F28</f>
        <v>0</v>
      </c>
      <c r="H30" s="25">
        <f>0</f>
        <v>0</v>
      </c>
      <c r="I30" s="26">
        <f>0</f>
        <v>0</v>
      </c>
      <c r="J30" s="26">
        <f>G30*0.10*10.5167</f>
        <v>0</v>
      </c>
      <c r="K30" s="27">
        <f>0</f>
        <v>0</v>
      </c>
      <c r="L30" s="28">
        <v>0.0</v>
      </c>
      <c r="M30" s="28">
        <v>0.0</v>
      </c>
      <c r="N30" s="29">
        <f>0</f>
        <v>0</v>
      </c>
      <c r="O30" s="30">
        <f>IFERROR(MIN(MAX(ROUND(RATES!H28*0.045/2,2),90),450),450)</f>
        <v>90</v>
      </c>
      <c r="P30" s="30">
        <f>IFERROR(ROUND(MIN(MAX(RATES!H28,10000),100000)*0.05/2,2),250)</f>
        <v>250</v>
      </c>
      <c r="Q30" s="30">
        <v>100</v>
      </c>
      <c r="R30" s="30">
        <f>IFERROR(IF(((RATES!H28-(O30+P30+Q30)*2)*12)&lt;=250000,0,IF(((RATES!H28-(O30+P30+Q30)*2)*12)&lt;=400000,(((RATES!H28-(O30+P30+Q30)*2)*12)-250000)*0.15/24,IF(((RATES!H28-(O30+P30+Q30)*2)*12)&lt;=800000,(22500+(((RATES!H28-(O30+P30+Q30)*2)*12)-400000)*0.20)/24,IF(((RATES!H28-(O30+P30+Q30)*2)*12)&lt;=2000000,(102500+(((RATES!H28-(O30+P30+Q30)*2)*12)-800000)*0.25)/24,IF(((RATES!H28-(O30+P30+Q30)*2)*12)&lt;=8000000,(402500+(((RATES!H28-(O30+P30+Q30)*2)*12)-2000000)*0.30)/24,(2202500+(((RATES!H28-(O30+P30+Q30)*2)*12)-8000000)*0.35)/24))))),0)</f>
        <v>0</v>
      </c>
      <c r="S30" s="31">
        <v>0</v>
      </c>
      <c r="T30" s="31">
        <v>0</v>
      </c>
      <c r="U30" s="32">
        <f>F30+H30+I30+J30+K30+S30+T30-N30</f>
        <v>0</v>
      </c>
      <c r="V30" s="33">
        <f>O30+P30+Q30+R30</f>
        <v>440</v>
      </c>
      <c r="W30" s="34">
        <f>U30-V30</f>
        <v>-440</v>
      </c>
      <c r="X30" s="6"/>
    </row>
    <row r="31" spans="1:24">
      <c r="A31" s="46" t="s">
        <v>67</v>
      </c>
      <c r="B31" s="47"/>
      <c r="C31" s="47"/>
      <c r="D31" s="47"/>
      <c r="E31" s="47"/>
      <c r="F31" s="48">
        <f>SUM(F6:F30)</f>
        <v>0</v>
      </c>
      <c r="G31" s="48">
        <f>SUM(G6:G30)</f>
        <v>0</v>
      </c>
      <c r="H31" s="48">
        <f>SUM(H6:H30)</f>
        <v>0</v>
      </c>
      <c r="I31" s="48">
        <f>SUM(I6:I30)</f>
        <v>0</v>
      </c>
      <c r="J31" s="48">
        <f>SUM(J6:J30)</f>
        <v>0</v>
      </c>
      <c r="K31" s="48">
        <f>SUM(K6:K30)</f>
        <v>0</v>
      </c>
      <c r="L31" s="48">
        <f>SUM(L6:L30)</f>
        <v>0</v>
      </c>
      <c r="M31" s="48">
        <f>SUM(M6:M30)</f>
        <v>0</v>
      </c>
      <c r="N31" s="48">
        <f>SUM(N6:N30)</f>
        <v>0</v>
      </c>
      <c r="O31" s="48">
        <f>SUM(O6:O30)</f>
        <v>2250</v>
      </c>
      <c r="P31" s="48">
        <f>SUM(P6:P30)</f>
        <v>6250</v>
      </c>
      <c r="Q31" s="48">
        <f>SUM(Q6:Q30)</f>
        <v>2500</v>
      </c>
      <c r="R31" s="48">
        <f>SUM(R6:R30)</f>
        <v>0</v>
      </c>
      <c r="S31" s="48">
        <f>SUM(S6:S30)</f>
        <v>0</v>
      </c>
      <c r="T31" s="48">
        <f>SUM(T6:T30)</f>
        <v>0</v>
      </c>
      <c r="U31" s="48">
        <f>SUM(U6:U30)</f>
        <v>0</v>
      </c>
      <c r="V31" s="48">
        <f>SUM(V6:V30)</f>
        <v>11000</v>
      </c>
      <c r="W31" s="48">
        <f>SUM(W6:W30)</f>
        <v>-11000</v>
      </c>
    </row>
    <row r="33" spans="1:24" customHeight="1" ht="24">
      <c r="A33" s="49" t="s">
        <v>68</v>
      </c>
      <c r="B33" s="50"/>
      <c r="C33" s="50"/>
      <c r="D33" s="50"/>
      <c r="E33" s="50"/>
      <c r="F33" s="51">
        <f>F31</f>
        <v>0</v>
      </c>
      <c r="G33" s="51">
        <f>G31</f>
        <v>0</v>
      </c>
      <c r="H33" s="51">
        <f>H31</f>
        <v>0</v>
      </c>
      <c r="I33" s="51">
        <f>I31</f>
        <v>0</v>
      </c>
      <c r="J33" s="51">
        <f>J31</f>
        <v>0</v>
      </c>
      <c r="K33" s="51">
        <f>K31</f>
        <v>0</v>
      </c>
      <c r="L33" s="51">
        <f>L31</f>
        <v>0</v>
      </c>
      <c r="M33" s="51">
        <f>M31</f>
        <v>0</v>
      </c>
      <c r="N33" s="51">
        <f>N31</f>
        <v>0</v>
      </c>
      <c r="O33" s="51">
        <f>O31</f>
        <v>2250</v>
      </c>
      <c r="P33" s="51">
        <f>P31</f>
        <v>6250</v>
      </c>
      <c r="Q33" s="51">
        <f>Q31</f>
        <v>2500</v>
      </c>
      <c r="R33" s="51">
        <f>R31</f>
        <v>0</v>
      </c>
      <c r="S33" s="51">
        <f>S31</f>
        <v>0</v>
      </c>
      <c r="T33" s="51">
        <f>T31</f>
        <v>0</v>
      </c>
      <c r="U33" s="51">
        <f>U31</f>
        <v>0</v>
      </c>
      <c r="V33" s="51">
        <f>V31</f>
        <v>11000</v>
      </c>
      <c r="W33" s="51">
        <f>W31</f>
        <v>-11000</v>
      </c>
    </row>
  </sheetData>
  <mergeCells>
    <mergeCell ref="A1:X1"/>
    <mergeCell ref="A2:X2"/>
    <mergeCell ref="A3:E3"/>
    <mergeCell ref="F3:G3"/>
    <mergeCell ref="H3:K3"/>
    <mergeCell ref="L3:N3"/>
    <mergeCell ref="O3:R3"/>
    <mergeCell ref="S3:T3"/>
    <mergeCell ref="U3:U3"/>
    <mergeCell ref="V3:V3"/>
    <mergeCell ref="W3:X3"/>
    <mergeCell ref="A5:X5"/>
    <mergeCell ref="A31:E31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pane xSplit="5" ySplit="3" activePane="bottomRight" state="frozen" topLeftCell="F4"/>
      <selection pane="bottomRight" activeCell="M30" sqref="M30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28" customWidth="true" style="0"/>
    <col min="4" max="4" width="20" customWidth="true" style="0"/>
    <col min="5" max="5" width="10" customWidth="true" style="0"/>
    <col min="6" max="6" width="12" customWidth="true" style="0"/>
    <col min="7" max="7" width="14" customWidth="true" style="0"/>
    <col min="8" max="8" width="12" customWidth="true" style="0"/>
    <col min="9" max="9" width="12" customWidth="true" style="0"/>
    <col min="10" max="10" width="14" customWidth="true" style="0"/>
    <col min="11" max="11" width="12" customWidth="true" style="0"/>
    <col min="12" max="12" width="16" customWidth="true" style="0"/>
    <col min="13" max="13" width="16" customWidth="true" style="0"/>
  </cols>
  <sheetData>
    <row r="1" spans="1:13">
      <c r="A1" s="1" t="s">
        <v>69</v>
      </c>
    </row>
    <row r="2" spans="1:13">
      <c r="A2" s="15" t="s">
        <v>70</v>
      </c>
    </row>
    <row r="3" spans="1:13" customHeight="1" ht="36">
      <c r="A3" s="21" t="s">
        <v>2</v>
      </c>
      <c r="B3" s="21" t="s">
        <v>3</v>
      </c>
      <c r="C3" s="21" t="s">
        <v>4</v>
      </c>
      <c r="D3" s="21" t="s">
        <v>5</v>
      </c>
      <c r="E3" s="21" t="s">
        <v>71</v>
      </c>
      <c r="F3" s="21" t="s">
        <v>57</v>
      </c>
      <c r="G3" s="21" t="s">
        <v>72</v>
      </c>
      <c r="H3" s="21" t="s">
        <v>73</v>
      </c>
      <c r="I3" s="21" t="s">
        <v>74</v>
      </c>
      <c r="J3" s="21" t="s">
        <v>75</v>
      </c>
      <c r="K3" s="21" t="s">
        <v>76</v>
      </c>
      <c r="L3" s="21" t="s">
        <v>77</v>
      </c>
      <c r="M3" s="21" t="s">
        <v>78</v>
      </c>
    </row>
    <row r="4" spans="1:13">
      <c r="A4" s="4">
        <v>1</v>
      </c>
      <c r="B4" s="5">
        <v>5200539</v>
      </c>
      <c r="C4" s="6" t="s">
        <v>10</v>
      </c>
      <c r="D4" s="6"/>
      <c r="E4" s="5" t="s">
        <v>11</v>
      </c>
      <c r="F4" s="30">
        <f>PAYROLL!O6</f>
        <v>90</v>
      </c>
      <c r="G4" s="30">
        <f>PAYROLL!P6</f>
        <v>250</v>
      </c>
      <c r="H4" s="30">
        <f>PAYROLL!Q6</f>
        <v>100</v>
      </c>
      <c r="I4" s="31">
        <f>ROUND(F4*2.111,2)</f>
        <v>189.99</v>
      </c>
      <c r="J4" s="31">
        <f>G4</f>
        <v>250</v>
      </c>
      <c r="K4" s="31">
        <v>100</v>
      </c>
      <c r="L4" s="52">
        <f>F4+G4+H4</f>
        <v>440</v>
      </c>
      <c r="M4" s="24">
        <f>I4+J4+K4</f>
        <v>539.99</v>
      </c>
    </row>
    <row r="5" spans="1:13">
      <c r="A5" s="10">
        <v>2</v>
      </c>
      <c r="B5" s="11">
        <v>5200537</v>
      </c>
      <c r="C5" s="12" t="s">
        <v>12</v>
      </c>
      <c r="D5" s="12"/>
      <c r="E5" s="11" t="s">
        <v>11</v>
      </c>
      <c r="F5" s="41">
        <f>PAYROLL!O7</f>
        <v>90</v>
      </c>
      <c r="G5" s="41">
        <f>PAYROLL!P7</f>
        <v>250</v>
      </c>
      <c r="H5" s="41">
        <f>PAYROLL!Q7</f>
        <v>100</v>
      </c>
      <c r="I5" s="42">
        <f>ROUND(F5*2.111,2)</f>
        <v>189.99</v>
      </c>
      <c r="J5" s="42">
        <f>G5</f>
        <v>250</v>
      </c>
      <c r="K5" s="42">
        <v>100</v>
      </c>
      <c r="L5" s="53">
        <f>F5+G5+H5</f>
        <v>440</v>
      </c>
      <c r="M5" s="35">
        <f>I5+J5+K5</f>
        <v>539.99</v>
      </c>
    </row>
    <row r="6" spans="1:13">
      <c r="A6" s="4">
        <v>3</v>
      </c>
      <c r="B6" s="5">
        <v>5200533</v>
      </c>
      <c r="C6" s="6" t="s">
        <v>13</v>
      </c>
      <c r="D6" s="6"/>
      <c r="E6" s="5" t="s">
        <v>11</v>
      </c>
      <c r="F6" s="30">
        <f>PAYROLL!O8</f>
        <v>90</v>
      </c>
      <c r="G6" s="30">
        <f>PAYROLL!P8</f>
        <v>250</v>
      </c>
      <c r="H6" s="30">
        <f>PAYROLL!Q8</f>
        <v>100</v>
      </c>
      <c r="I6" s="31">
        <f>ROUND(F6*2.111,2)</f>
        <v>189.99</v>
      </c>
      <c r="J6" s="31">
        <f>G6</f>
        <v>250</v>
      </c>
      <c r="K6" s="31">
        <v>100</v>
      </c>
      <c r="L6" s="52">
        <f>F6+G6+H6</f>
        <v>440</v>
      </c>
      <c r="M6" s="24">
        <f>I6+J6+K6</f>
        <v>539.99</v>
      </c>
    </row>
    <row r="7" spans="1:13">
      <c r="A7" s="10">
        <v>4</v>
      </c>
      <c r="B7" s="11">
        <v>5200543</v>
      </c>
      <c r="C7" s="12" t="s">
        <v>14</v>
      </c>
      <c r="D7" s="12"/>
      <c r="E7" s="11" t="s">
        <v>11</v>
      </c>
      <c r="F7" s="41">
        <f>PAYROLL!O9</f>
        <v>90</v>
      </c>
      <c r="G7" s="41">
        <f>PAYROLL!P9</f>
        <v>250</v>
      </c>
      <c r="H7" s="41">
        <f>PAYROLL!Q9</f>
        <v>100</v>
      </c>
      <c r="I7" s="42">
        <f>ROUND(F7*2.111,2)</f>
        <v>189.99</v>
      </c>
      <c r="J7" s="42">
        <f>G7</f>
        <v>250</v>
      </c>
      <c r="K7" s="42">
        <v>100</v>
      </c>
      <c r="L7" s="53">
        <f>F7+G7+H7</f>
        <v>440</v>
      </c>
      <c r="M7" s="35">
        <f>I7+J7+K7</f>
        <v>539.99</v>
      </c>
    </row>
    <row r="8" spans="1:13">
      <c r="A8" s="4">
        <v>5</v>
      </c>
      <c r="B8" s="5">
        <v>5200433</v>
      </c>
      <c r="C8" s="6" t="s">
        <v>15</v>
      </c>
      <c r="D8" s="6"/>
      <c r="E8" s="5" t="s">
        <v>11</v>
      </c>
      <c r="F8" s="30">
        <f>PAYROLL!O10</f>
        <v>90</v>
      </c>
      <c r="G8" s="30">
        <f>PAYROLL!P10</f>
        <v>250</v>
      </c>
      <c r="H8" s="30">
        <f>PAYROLL!Q10</f>
        <v>100</v>
      </c>
      <c r="I8" s="31">
        <f>ROUND(F8*2.111,2)</f>
        <v>189.99</v>
      </c>
      <c r="J8" s="31">
        <f>G8</f>
        <v>250</v>
      </c>
      <c r="K8" s="31">
        <v>100</v>
      </c>
      <c r="L8" s="52">
        <f>F8+G8+H8</f>
        <v>440</v>
      </c>
      <c r="M8" s="24">
        <f>I8+J8+K8</f>
        <v>539.99</v>
      </c>
    </row>
    <row r="9" spans="1:13">
      <c r="A9" s="10">
        <v>6</v>
      </c>
      <c r="B9" s="11">
        <v>5200498</v>
      </c>
      <c r="C9" s="12" t="s">
        <v>16</v>
      </c>
      <c r="D9" s="12"/>
      <c r="E9" s="11" t="s">
        <v>11</v>
      </c>
      <c r="F9" s="41">
        <f>PAYROLL!O11</f>
        <v>90</v>
      </c>
      <c r="G9" s="41">
        <f>PAYROLL!P11</f>
        <v>250</v>
      </c>
      <c r="H9" s="41">
        <f>PAYROLL!Q11</f>
        <v>100</v>
      </c>
      <c r="I9" s="42">
        <f>ROUND(F9*2.111,2)</f>
        <v>189.99</v>
      </c>
      <c r="J9" s="42">
        <f>G9</f>
        <v>250</v>
      </c>
      <c r="K9" s="42">
        <v>100</v>
      </c>
      <c r="L9" s="53">
        <f>F9+G9+H9</f>
        <v>440</v>
      </c>
      <c r="M9" s="35">
        <f>I9+J9+K9</f>
        <v>539.99</v>
      </c>
    </row>
    <row r="10" spans="1:13">
      <c r="A10" s="4">
        <v>7</v>
      </c>
      <c r="B10" s="5">
        <v>5200559</v>
      </c>
      <c r="C10" s="6" t="s">
        <v>17</v>
      </c>
      <c r="D10" s="6"/>
      <c r="E10" s="5" t="s">
        <v>11</v>
      </c>
      <c r="F10" s="30">
        <f>PAYROLL!O12</f>
        <v>90</v>
      </c>
      <c r="G10" s="30">
        <f>PAYROLL!P12</f>
        <v>250</v>
      </c>
      <c r="H10" s="30">
        <f>PAYROLL!Q12</f>
        <v>100</v>
      </c>
      <c r="I10" s="31">
        <f>ROUND(F10*2.111,2)</f>
        <v>189.99</v>
      </c>
      <c r="J10" s="31">
        <f>G10</f>
        <v>250</v>
      </c>
      <c r="K10" s="31">
        <v>100</v>
      </c>
      <c r="L10" s="52">
        <f>F10+G10+H10</f>
        <v>440</v>
      </c>
      <c r="M10" s="24">
        <f>I10+J10+K10</f>
        <v>539.99</v>
      </c>
    </row>
    <row r="11" spans="1:13">
      <c r="A11" s="10">
        <v>8</v>
      </c>
      <c r="B11" s="11">
        <v>5200333</v>
      </c>
      <c r="C11" s="12" t="s">
        <v>18</v>
      </c>
      <c r="D11" s="12"/>
      <c r="E11" s="11" t="s">
        <v>11</v>
      </c>
      <c r="F11" s="41">
        <f>PAYROLL!O13</f>
        <v>90</v>
      </c>
      <c r="G11" s="41">
        <f>PAYROLL!P13</f>
        <v>250</v>
      </c>
      <c r="H11" s="41">
        <f>PAYROLL!Q13</f>
        <v>100</v>
      </c>
      <c r="I11" s="42">
        <f>ROUND(F11*2.111,2)</f>
        <v>189.99</v>
      </c>
      <c r="J11" s="42">
        <f>G11</f>
        <v>250</v>
      </c>
      <c r="K11" s="42">
        <v>100</v>
      </c>
      <c r="L11" s="53">
        <f>F11+G11+H11</f>
        <v>440</v>
      </c>
      <c r="M11" s="35">
        <f>I11+J11+K11</f>
        <v>539.99</v>
      </c>
    </row>
    <row r="12" spans="1:13">
      <c r="A12" s="4">
        <v>9</v>
      </c>
      <c r="B12" s="5">
        <v>5200534</v>
      </c>
      <c r="C12" s="6" t="s">
        <v>19</v>
      </c>
      <c r="D12" s="6"/>
      <c r="E12" s="5" t="s">
        <v>11</v>
      </c>
      <c r="F12" s="30">
        <f>PAYROLL!O14</f>
        <v>90</v>
      </c>
      <c r="G12" s="30">
        <f>PAYROLL!P14</f>
        <v>250</v>
      </c>
      <c r="H12" s="30">
        <f>PAYROLL!Q14</f>
        <v>100</v>
      </c>
      <c r="I12" s="31">
        <f>ROUND(F12*2.111,2)</f>
        <v>189.99</v>
      </c>
      <c r="J12" s="31">
        <f>G12</f>
        <v>250</v>
      </c>
      <c r="K12" s="31">
        <v>100</v>
      </c>
      <c r="L12" s="52">
        <f>F12+G12+H12</f>
        <v>440</v>
      </c>
      <c r="M12" s="24">
        <f>I12+J12+K12</f>
        <v>539.99</v>
      </c>
    </row>
    <row r="13" spans="1:13">
      <c r="A13" s="10">
        <v>10</v>
      </c>
      <c r="B13" s="11">
        <v>5200396</v>
      </c>
      <c r="C13" s="12" t="s">
        <v>20</v>
      </c>
      <c r="D13" s="12"/>
      <c r="E13" s="11" t="s">
        <v>11</v>
      </c>
      <c r="F13" s="41">
        <f>PAYROLL!O15</f>
        <v>90</v>
      </c>
      <c r="G13" s="41">
        <f>PAYROLL!P15</f>
        <v>250</v>
      </c>
      <c r="H13" s="41">
        <f>PAYROLL!Q15</f>
        <v>100</v>
      </c>
      <c r="I13" s="42">
        <f>ROUND(F13*2.111,2)</f>
        <v>189.99</v>
      </c>
      <c r="J13" s="42">
        <f>G13</f>
        <v>250</v>
      </c>
      <c r="K13" s="42">
        <v>100</v>
      </c>
      <c r="L13" s="53">
        <f>F13+G13+H13</f>
        <v>440</v>
      </c>
      <c r="M13" s="35">
        <f>I13+J13+K13</f>
        <v>539.99</v>
      </c>
    </row>
    <row r="14" spans="1:13">
      <c r="A14" s="4">
        <v>11</v>
      </c>
      <c r="B14" s="5">
        <v>5200507</v>
      </c>
      <c r="C14" s="6" t="s">
        <v>21</v>
      </c>
      <c r="D14" s="6"/>
      <c r="E14" s="5" t="s">
        <v>11</v>
      </c>
      <c r="F14" s="30">
        <f>PAYROLL!O16</f>
        <v>90</v>
      </c>
      <c r="G14" s="30">
        <f>PAYROLL!P16</f>
        <v>250</v>
      </c>
      <c r="H14" s="30">
        <f>PAYROLL!Q16</f>
        <v>100</v>
      </c>
      <c r="I14" s="31">
        <f>ROUND(F14*2.111,2)</f>
        <v>189.99</v>
      </c>
      <c r="J14" s="31">
        <f>G14</f>
        <v>250</v>
      </c>
      <c r="K14" s="31">
        <v>100</v>
      </c>
      <c r="L14" s="52">
        <f>F14+G14+H14</f>
        <v>440</v>
      </c>
      <c r="M14" s="24">
        <f>I14+J14+K14</f>
        <v>539.99</v>
      </c>
    </row>
    <row r="15" spans="1:13">
      <c r="A15" s="10">
        <v>12</v>
      </c>
      <c r="B15" s="11">
        <v>5200328</v>
      </c>
      <c r="C15" s="12" t="s">
        <v>22</v>
      </c>
      <c r="D15" s="12"/>
      <c r="E15" s="11" t="s">
        <v>11</v>
      </c>
      <c r="F15" s="41">
        <f>PAYROLL!O17</f>
        <v>90</v>
      </c>
      <c r="G15" s="41">
        <f>PAYROLL!P17</f>
        <v>250</v>
      </c>
      <c r="H15" s="41">
        <f>PAYROLL!Q17</f>
        <v>100</v>
      </c>
      <c r="I15" s="42">
        <f>ROUND(F15*2.111,2)</f>
        <v>189.99</v>
      </c>
      <c r="J15" s="42">
        <f>G15</f>
        <v>250</v>
      </c>
      <c r="K15" s="42">
        <v>100</v>
      </c>
      <c r="L15" s="53">
        <f>F15+G15+H15</f>
        <v>440</v>
      </c>
      <c r="M15" s="35">
        <f>I15+J15+K15</f>
        <v>539.99</v>
      </c>
    </row>
    <row r="16" spans="1:13">
      <c r="A16" s="4">
        <v>13</v>
      </c>
      <c r="B16" s="5">
        <v>5200388</v>
      </c>
      <c r="C16" s="6" t="s">
        <v>23</v>
      </c>
      <c r="D16" s="6"/>
      <c r="E16" s="5" t="s">
        <v>11</v>
      </c>
      <c r="F16" s="30">
        <f>PAYROLL!O18</f>
        <v>90</v>
      </c>
      <c r="G16" s="30">
        <f>PAYROLL!P18</f>
        <v>250</v>
      </c>
      <c r="H16" s="30">
        <f>PAYROLL!Q18</f>
        <v>100</v>
      </c>
      <c r="I16" s="31">
        <f>ROUND(F16*2.111,2)</f>
        <v>189.99</v>
      </c>
      <c r="J16" s="31">
        <f>G16</f>
        <v>250</v>
      </c>
      <c r="K16" s="31">
        <v>100</v>
      </c>
      <c r="L16" s="52">
        <f>F16+G16+H16</f>
        <v>440</v>
      </c>
      <c r="M16" s="24">
        <f>I16+J16+K16</f>
        <v>539.99</v>
      </c>
    </row>
    <row r="17" spans="1:13">
      <c r="A17" s="10">
        <v>14</v>
      </c>
      <c r="B17" s="11">
        <v>5200343</v>
      </c>
      <c r="C17" s="12" t="s">
        <v>24</v>
      </c>
      <c r="D17" s="12"/>
      <c r="E17" s="11" t="s">
        <v>11</v>
      </c>
      <c r="F17" s="41">
        <f>PAYROLL!O19</f>
        <v>90</v>
      </c>
      <c r="G17" s="41">
        <f>PAYROLL!P19</f>
        <v>250</v>
      </c>
      <c r="H17" s="41">
        <f>PAYROLL!Q19</f>
        <v>100</v>
      </c>
      <c r="I17" s="42">
        <f>ROUND(F17*2.111,2)</f>
        <v>189.99</v>
      </c>
      <c r="J17" s="42">
        <f>G17</f>
        <v>250</v>
      </c>
      <c r="K17" s="42">
        <v>100</v>
      </c>
      <c r="L17" s="53">
        <f>F17+G17+H17</f>
        <v>440</v>
      </c>
      <c r="M17" s="35">
        <f>I17+J17+K17</f>
        <v>539.99</v>
      </c>
    </row>
    <row r="18" spans="1:13">
      <c r="A18" s="4">
        <v>15</v>
      </c>
      <c r="B18" s="5">
        <v>5200084</v>
      </c>
      <c r="C18" s="6" t="s">
        <v>25</v>
      </c>
      <c r="D18" s="6"/>
      <c r="E18" s="5" t="s">
        <v>11</v>
      </c>
      <c r="F18" s="30">
        <f>PAYROLL!O20</f>
        <v>90</v>
      </c>
      <c r="G18" s="30">
        <f>PAYROLL!P20</f>
        <v>250</v>
      </c>
      <c r="H18" s="30">
        <f>PAYROLL!Q20</f>
        <v>100</v>
      </c>
      <c r="I18" s="31">
        <f>ROUND(F18*2.111,2)</f>
        <v>189.99</v>
      </c>
      <c r="J18" s="31">
        <f>G18</f>
        <v>250</v>
      </c>
      <c r="K18" s="31">
        <v>100</v>
      </c>
      <c r="L18" s="52">
        <f>F18+G18+H18</f>
        <v>440</v>
      </c>
      <c r="M18" s="24">
        <f>I18+J18+K18</f>
        <v>539.99</v>
      </c>
    </row>
    <row r="19" spans="1:13">
      <c r="A19" s="10">
        <v>16</v>
      </c>
      <c r="B19" s="11">
        <v>5200357</v>
      </c>
      <c r="C19" s="12" t="s">
        <v>26</v>
      </c>
      <c r="D19" s="12"/>
      <c r="E19" s="11" t="s">
        <v>11</v>
      </c>
      <c r="F19" s="41">
        <f>PAYROLL!O21</f>
        <v>90</v>
      </c>
      <c r="G19" s="41">
        <f>PAYROLL!P21</f>
        <v>250</v>
      </c>
      <c r="H19" s="41">
        <f>PAYROLL!Q21</f>
        <v>100</v>
      </c>
      <c r="I19" s="42">
        <f>ROUND(F19*2.111,2)</f>
        <v>189.99</v>
      </c>
      <c r="J19" s="42">
        <f>G19</f>
        <v>250</v>
      </c>
      <c r="K19" s="42">
        <v>100</v>
      </c>
      <c r="L19" s="53">
        <f>F19+G19+H19</f>
        <v>440</v>
      </c>
      <c r="M19" s="35">
        <f>I19+J19+K19</f>
        <v>539.99</v>
      </c>
    </row>
    <row r="20" spans="1:13">
      <c r="A20" s="4">
        <v>17</v>
      </c>
      <c r="B20" s="5">
        <v>5200552</v>
      </c>
      <c r="C20" s="6" t="s">
        <v>27</v>
      </c>
      <c r="D20" s="6"/>
      <c r="E20" s="5" t="s">
        <v>11</v>
      </c>
      <c r="F20" s="30">
        <f>PAYROLL!O22</f>
        <v>90</v>
      </c>
      <c r="G20" s="30">
        <f>PAYROLL!P22</f>
        <v>250</v>
      </c>
      <c r="H20" s="30">
        <f>PAYROLL!Q22</f>
        <v>100</v>
      </c>
      <c r="I20" s="31">
        <f>ROUND(F20*2.111,2)</f>
        <v>189.99</v>
      </c>
      <c r="J20" s="31">
        <f>G20</f>
        <v>250</v>
      </c>
      <c r="K20" s="31">
        <v>100</v>
      </c>
      <c r="L20" s="52">
        <f>F20+G20+H20</f>
        <v>440</v>
      </c>
      <c r="M20" s="24">
        <f>I20+J20+K20</f>
        <v>539.99</v>
      </c>
    </row>
    <row r="21" spans="1:13">
      <c r="A21" s="10">
        <v>18</v>
      </c>
      <c r="B21" s="11">
        <v>5200421</v>
      </c>
      <c r="C21" s="12" t="s">
        <v>28</v>
      </c>
      <c r="D21" s="12"/>
      <c r="E21" s="11" t="s">
        <v>11</v>
      </c>
      <c r="F21" s="41">
        <f>PAYROLL!O23</f>
        <v>90</v>
      </c>
      <c r="G21" s="41">
        <f>PAYROLL!P23</f>
        <v>250</v>
      </c>
      <c r="H21" s="41">
        <f>PAYROLL!Q23</f>
        <v>100</v>
      </c>
      <c r="I21" s="42">
        <f>ROUND(F21*2.111,2)</f>
        <v>189.99</v>
      </c>
      <c r="J21" s="42">
        <f>G21</f>
        <v>250</v>
      </c>
      <c r="K21" s="42">
        <v>100</v>
      </c>
      <c r="L21" s="53">
        <f>F21+G21+H21</f>
        <v>440</v>
      </c>
      <c r="M21" s="35">
        <f>I21+J21+K21</f>
        <v>539.99</v>
      </c>
    </row>
    <row r="22" spans="1:13">
      <c r="A22" s="4">
        <v>19</v>
      </c>
      <c r="B22" s="5">
        <v>5200332</v>
      </c>
      <c r="C22" s="6" t="s">
        <v>29</v>
      </c>
      <c r="D22" s="6"/>
      <c r="E22" s="5" t="s">
        <v>11</v>
      </c>
      <c r="F22" s="30">
        <f>PAYROLL!O24</f>
        <v>90</v>
      </c>
      <c r="G22" s="30">
        <f>PAYROLL!P24</f>
        <v>250</v>
      </c>
      <c r="H22" s="30">
        <f>PAYROLL!Q24</f>
        <v>100</v>
      </c>
      <c r="I22" s="31">
        <f>ROUND(F22*2.111,2)</f>
        <v>189.99</v>
      </c>
      <c r="J22" s="31">
        <f>G22</f>
        <v>250</v>
      </c>
      <c r="K22" s="31">
        <v>100</v>
      </c>
      <c r="L22" s="52">
        <f>F22+G22+H22</f>
        <v>440</v>
      </c>
      <c r="M22" s="24">
        <f>I22+J22+K22</f>
        <v>539.99</v>
      </c>
    </row>
    <row r="23" spans="1:13">
      <c r="A23" s="10">
        <v>20</v>
      </c>
      <c r="B23" s="11">
        <v>5200393</v>
      </c>
      <c r="C23" s="12" t="s">
        <v>30</v>
      </c>
      <c r="D23" s="12"/>
      <c r="E23" s="11" t="s">
        <v>11</v>
      </c>
      <c r="F23" s="41">
        <f>PAYROLL!O25</f>
        <v>90</v>
      </c>
      <c r="G23" s="41">
        <f>PAYROLL!P25</f>
        <v>250</v>
      </c>
      <c r="H23" s="41">
        <f>PAYROLL!Q25</f>
        <v>100</v>
      </c>
      <c r="I23" s="42">
        <f>ROUND(F23*2.111,2)</f>
        <v>189.99</v>
      </c>
      <c r="J23" s="42">
        <f>G23</f>
        <v>250</v>
      </c>
      <c r="K23" s="42">
        <v>100</v>
      </c>
      <c r="L23" s="53">
        <f>F23+G23+H23</f>
        <v>440</v>
      </c>
      <c r="M23" s="35">
        <f>I23+J23+K23</f>
        <v>539.99</v>
      </c>
    </row>
    <row r="24" spans="1:13">
      <c r="A24" s="4">
        <v>21</v>
      </c>
      <c r="B24" s="5">
        <v>5200491</v>
      </c>
      <c r="C24" s="6" t="s">
        <v>31</v>
      </c>
      <c r="D24" s="6"/>
      <c r="E24" s="5" t="s">
        <v>11</v>
      </c>
      <c r="F24" s="30">
        <f>PAYROLL!O26</f>
        <v>90</v>
      </c>
      <c r="G24" s="30">
        <f>PAYROLL!P26</f>
        <v>250</v>
      </c>
      <c r="H24" s="30">
        <f>PAYROLL!Q26</f>
        <v>100</v>
      </c>
      <c r="I24" s="31">
        <f>ROUND(F24*2.111,2)</f>
        <v>189.99</v>
      </c>
      <c r="J24" s="31">
        <f>G24</f>
        <v>250</v>
      </c>
      <c r="K24" s="31">
        <v>100</v>
      </c>
      <c r="L24" s="52">
        <f>F24+G24+H24</f>
        <v>440</v>
      </c>
      <c r="M24" s="24">
        <f>I24+J24+K24</f>
        <v>539.99</v>
      </c>
    </row>
    <row r="25" spans="1:13">
      <c r="A25" s="10">
        <v>22</v>
      </c>
      <c r="B25" s="11">
        <v>5200475</v>
      </c>
      <c r="C25" s="12" t="s">
        <v>32</v>
      </c>
      <c r="D25" s="12"/>
      <c r="E25" s="11" t="s">
        <v>11</v>
      </c>
      <c r="F25" s="41">
        <f>PAYROLL!O27</f>
        <v>90</v>
      </c>
      <c r="G25" s="41">
        <f>PAYROLL!P27</f>
        <v>250</v>
      </c>
      <c r="H25" s="41">
        <f>PAYROLL!Q27</f>
        <v>100</v>
      </c>
      <c r="I25" s="42">
        <f>ROUND(F25*2.111,2)</f>
        <v>189.99</v>
      </c>
      <c r="J25" s="42">
        <f>G25</f>
        <v>250</v>
      </c>
      <c r="K25" s="42">
        <v>100</v>
      </c>
      <c r="L25" s="53">
        <f>F25+G25+H25</f>
        <v>440</v>
      </c>
      <c r="M25" s="35">
        <f>I25+J25+K25</f>
        <v>539.99</v>
      </c>
    </row>
    <row r="26" spans="1:13">
      <c r="A26" s="4">
        <v>23</v>
      </c>
      <c r="B26" s="5">
        <v>5200523</v>
      </c>
      <c r="C26" s="6" t="s">
        <v>33</v>
      </c>
      <c r="D26" s="6"/>
      <c r="E26" s="5" t="s">
        <v>11</v>
      </c>
      <c r="F26" s="30">
        <f>PAYROLL!O28</f>
        <v>90</v>
      </c>
      <c r="G26" s="30">
        <f>PAYROLL!P28</f>
        <v>250</v>
      </c>
      <c r="H26" s="30">
        <f>PAYROLL!Q28</f>
        <v>100</v>
      </c>
      <c r="I26" s="31">
        <f>ROUND(F26*2.111,2)</f>
        <v>189.99</v>
      </c>
      <c r="J26" s="31">
        <f>G26</f>
        <v>250</v>
      </c>
      <c r="K26" s="31">
        <v>100</v>
      </c>
      <c r="L26" s="52">
        <f>F26+G26+H26</f>
        <v>440</v>
      </c>
      <c r="M26" s="24">
        <f>I26+J26+K26</f>
        <v>539.99</v>
      </c>
    </row>
    <row r="27" spans="1:13">
      <c r="A27" s="10">
        <v>24</v>
      </c>
      <c r="B27" s="11">
        <v>5200122</v>
      </c>
      <c r="C27" s="12" t="s">
        <v>34</v>
      </c>
      <c r="D27" s="12"/>
      <c r="E27" s="11" t="s">
        <v>11</v>
      </c>
      <c r="F27" s="41">
        <f>PAYROLL!O29</f>
        <v>90</v>
      </c>
      <c r="G27" s="41">
        <f>PAYROLL!P29</f>
        <v>250</v>
      </c>
      <c r="H27" s="41">
        <f>PAYROLL!Q29</f>
        <v>100</v>
      </c>
      <c r="I27" s="42">
        <f>ROUND(F27*2.111,2)</f>
        <v>189.99</v>
      </c>
      <c r="J27" s="42">
        <f>G27</f>
        <v>250</v>
      </c>
      <c r="K27" s="42">
        <v>100</v>
      </c>
      <c r="L27" s="53">
        <f>F27+G27+H27</f>
        <v>440</v>
      </c>
      <c r="M27" s="35">
        <f>I27+J27+K27</f>
        <v>539.99</v>
      </c>
    </row>
    <row r="28" spans="1:13">
      <c r="A28" s="4">
        <v>25</v>
      </c>
      <c r="B28" s="5">
        <v>5200495</v>
      </c>
      <c r="C28" s="6" t="s">
        <v>35</v>
      </c>
      <c r="D28" s="6"/>
      <c r="E28" s="5" t="s">
        <v>11</v>
      </c>
      <c r="F28" s="30">
        <f>PAYROLL!O30</f>
        <v>90</v>
      </c>
      <c r="G28" s="30">
        <f>PAYROLL!P30</f>
        <v>250</v>
      </c>
      <c r="H28" s="30">
        <f>PAYROLL!Q30</f>
        <v>100</v>
      </c>
      <c r="I28" s="31">
        <f>ROUND(F28*2.111,2)</f>
        <v>189.99</v>
      </c>
      <c r="J28" s="31">
        <f>G28</f>
        <v>250</v>
      </c>
      <c r="K28" s="31">
        <v>100</v>
      </c>
      <c r="L28" s="52">
        <f>F28+G28+H28</f>
        <v>440</v>
      </c>
      <c r="M28" s="24">
        <f>I28+J28+K28</f>
        <v>539.99</v>
      </c>
    </row>
    <row r="30" spans="1:13">
      <c r="A30" s="54" t="s">
        <v>79</v>
      </c>
      <c r="B30" s="50"/>
      <c r="C30" s="50"/>
      <c r="D30" s="50"/>
      <c r="E30" s="50"/>
      <c r="F30" s="55">
        <f>SUM(F4:F28)</f>
        <v>2250</v>
      </c>
      <c r="G30" s="55">
        <f>SUM(G4:G28)</f>
        <v>6250</v>
      </c>
      <c r="H30" s="55">
        <f>SUM(H4:H28)</f>
        <v>2500</v>
      </c>
      <c r="I30" s="55">
        <f>SUM(I4:I28)</f>
        <v>4749.75</v>
      </c>
      <c r="J30" s="55">
        <f>SUM(J4:J28)</f>
        <v>6250</v>
      </c>
      <c r="K30" s="55">
        <f>SUM(K4:K28)</f>
        <v>2500</v>
      </c>
      <c r="L30" s="55">
        <f>SUM(L4:L28)</f>
        <v>11000</v>
      </c>
      <c r="M30" s="55">
        <f>SUM(M4:M28)</f>
        <v>13499.75</v>
      </c>
    </row>
  </sheetData>
  <mergeCells>
    <mergeCell ref="A1:M1"/>
    <mergeCell ref="A2:M2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26" customWidth="true" style="0"/>
    <col min="2" max="2" width="20" customWidth="true" style="0"/>
    <col min="3" max="3" width="4" customWidth="true" style="0"/>
    <col min="4" max="4" width="26" customWidth="true" style="0"/>
    <col min="5" max="5" width="20" customWidth="true" style="0"/>
  </cols>
  <sheetData>
    <row r="1" spans="1:5">
      <c r="A1" s="56" t="s">
        <v>80</v>
      </c>
    </row>
    <row r="2" spans="1:5">
      <c r="A2" s="57" t="s">
        <v>81</v>
      </c>
      <c r="B2" s="58" t="s">
        <v>82</v>
      </c>
      <c r="D2" s="57" t="s">
        <v>83</v>
      </c>
      <c r="E2" s="58" t="s">
        <v>84</v>
      </c>
    </row>
    <row r="4" spans="1:5">
      <c r="A4" s="59" t="s">
        <v>85</v>
      </c>
      <c r="B4" s="60" t="s">
        <v>86</v>
      </c>
    </row>
    <row r="5" spans="1:5">
      <c r="A5" s="59" t="s">
        <v>87</v>
      </c>
      <c r="B5" s="60" t="s">
        <v>88</v>
      </c>
    </row>
    <row r="6" spans="1:5">
      <c r="A6" s="59" t="s">
        <v>89</v>
      </c>
      <c r="B6" s="60" t="s">
        <v>90</v>
      </c>
    </row>
    <row r="7" spans="1:5">
      <c r="A7" s="59" t="s">
        <v>91</v>
      </c>
      <c r="B7" s="60" t="s">
        <v>92</v>
      </c>
    </row>
    <row r="9" spans="1:5">
      <c r="A9" s="61" t="s">
        <v>93</v>
      </c>
      <c r="D9" s="62" t="s">
        <v>94</v>
      </c>
    </row>
    <row r="10" spans="1:5">
      <c r="A10" s="58" t="s">
        <v>95</v>
      </c>
      <c r="B10" s="63" t="s">
        <v>96</v>
      </c>
      <c r="D10" s="58" t="s">
        <v>104</v>
      </c>
      <c r="E10" s="63" t="s">
        <v>96</v>
      </c>
    </row>
    <row r="11" spans="1:5">
      <c r="A11" s="58" t="s">
        <v>97</v>
      </c>
      <c r="B11" s="63" t="s">
        <v>96</v>
      </c>
      <c r="D11" s="58" t="s">
        <v>105</v>
      </c>
      <c r="E11" s="63" t="s">
        <v>96</v>
      </c>
    </row>
    <row r="12" spans="1:5">
      <c r="A12" s="58" t="s">
        <v>98</v>
      </c>
      <c r="B12" s="63" t="s">
        <v>96</v>
      </c>
      <c r="D12" s="58" t="s">
        <v>106</v>
      </c>
      <c r="E12" s="63" t="s">
        <v>96</v>
      </c>
    </row>
    <row r="13" spans="1:5">
      <c r="A13" s="58" t="s">
        <v>99</v>
      </c>
      <c r="B13" s="63" t="s">
        <v>96</v>
      </c>
      <c r="D13" s="58" t="s">
        <v>107</v>
      </c>
      <c r="E13" s="63" t="s">
        <v>96</v>
      </c>
    </row>
    <row r="14" spans="1:5">
      <c r="A14" s="58" t="s">
        <v>100</v>
      </c>
      <c r="B14" s="63" t="s">
        <v>96</v>
      </c>
      <c r="D14" s="58" t="s">
        <v>108</v>
      </c>
      <c r="E14" s="63" t="s">
        <v>96</v>
      </c>
    </row>
    <row r="15" spans="1:5">
      <c r="A15" s="58" t="s">
        <v>101</v>
      </c>
      <c r="B15" s="63" t="s">
        <v>96</v>
      </c>
    </row>
    <row r="16" spans="1:5">
      <c r="A16" s="58" t="s">
        <v>102</v>
      </c>
      <c r="B16" s="63" t="s">
        <v>96</v>
      </c>
    </row>
    <row r="17" spans="1:5">
      <c r="A17" s="58" t="s">
        <v>103</v>
      </c>
      <c r="B17" s="63" t="s">
        <v>96</v>
      </c>
    </row>
    <row r="18" spans="1:5">
      <c r="A18" s="64" t="s">
        <v>44</v>
      </c>
      <c r="B18" s="65" t="s">
        <v>96</v>
      </c>
    </row>
    <row r="20" spans="1:5" customHeight="1" ht="28">
      <c r="A20" s="66" t="s">
        <v>109</v>
      </c>
    </row>
    <row r="22" spans="1:5">
      <c r="A22" s="57" t="s">
        <v>110</v>
      </c>
      <c r="D22" s="57" t="s">
        <v>113</v>
      </c>
    </row>
    <row r="24" spans="1:5">
      <c r="A24" t="s">
        <v>111</v>
      </c>
      <c r="D24" t="s">
        <v>111</v>
      </c>
    </row>
    <row r="25" spans="1:5">
      <c r="A25" t="s">
        <v>112</v>
      </c>
      <c r="D25" t="s">
        <v>114</v>
      </c>
    </row>
  </sheetData>
  <mergeCells>
    <mergeCell ref="A1:E1"/>
    <mergeCell ref="A9:B9"/>
    <mergeCell ref="D9:E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RATES</vt:lpstr>
      <vt:lpstr>PAYROLL</vt:lpstr>
      <vt:lpstr>GOV'T DEDUCTIONS</vt:lpstr>
      <vt:lpstr>PAYSLIP_TEMPLATE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2026-08-02T13:35:38+08:00</dcterms:created>
  <dcterms:modified xsi:type="dcterms:W3CDTF">2026-08-02T13:35:38+08:00</dcterms:modified>
  <dc:title>Untitled Spreadsheet</dc:title>
  <dc:description/>
  <dc:subject/>
  <cp:keywords/>
  <cp:category/>
</cp:coreProperties>
</file>